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ENGENHEIROS\João Miguel\02 - EXPEDIENTES EM ANDAMENTO\03 - Apucarana\23-04-2025\"/>
    </mc:Choice>
  </mc:AlternateContent>
  <xr:revisionPtr revIDLastSave="0" documentId="13_ncr:1_{C4B73EEB-17A6-432F-9C5A-E058BD07B475}" xr6:coauthVersionLast="47" xr6:coauthVersionMax="47" xr10:uidLastSave="{00000000-0000-0000-0000-000000000000}"/>
  <bookViews>
    <workbookView xWindow="-120" yWindow="-120" windowWidth="29040" windowHeight="15720" firstSheet="1" activeTab="2" xr2:uid="{A1107579-663B-4D93-97CE-5E0BDB33148E}"/>
  </bookViews>
  <sheets>
    <sheet name="Orçamento Sintético - DES" sheetId="2" state="hidden" r:id="rId1"/>
    <sheet name="01 - Orçamento Sintético" sheetId="3" r:id="rId2"/>
    <sheet name="02 - Planilha de Medição" sheetId="5" r:id="rId3"/>
    <sheet name="03 - Cronograma Inicial" sheetId="6" r:id="rId4"/>
    <sheet name="BDI 2025" sheetId="4" r:id="rId5"/>
  </sheets>
  <definedNames>
    <definedName name="_xlnm.Print_Area" localSheetId="4">'BDI 2025'!$A$1:$M$40</definedName>
    <definedName name="CCADAPT" localSheetId="4">#REF!</definedName>
    <definedName name="CCADAPT">#REF!</definedName>
    <definedName name="CCOMP" localSheetId="4">#REF!</definedName>
    <definedName name="CCOMP">#REF!</definedName>
    <definedName name="CCOT" localSheetId="4">#REF!</definedName>
    <definedName name="CCOT">#REF!</definedName>
    <definedName name="CINSU" localSheetId="4">#REF!</definedName>
    <definedName name="CINSU">#REF!</definedName>
    <definedName name="CPUFILTRO" localSheetId="4">#REF!</definedName>
    <definedName name="CPUFILTRO">#REF!</definedName>
    <definedName name="ICADAPT" localSheetId="4">#REF!</definedName>
    <definedName name="ICADAPT">#REF!</definedName>
    <definedName name="ICOMP" localSheetId="4">#REF!</definedName>
    <definedName name="ICOMP">#REF!</definedName>
    <definedName name="ICOT" localSheetId="4">#REF!</definedName>
    <definedName name="ICOT">#REF!</definedName>
    <definedName name="IINSU" localSheetId="4">#REF!</definedName>
    <definedName name="IINSU">#REF!</definedName>
    <definedName name="jOSE" localSheetId="4">#REF!</definedName>
    <definedName name="jOSE">#REF!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1" i="5" l="1"/>
  <c r="U101" i="5"/>
  <c r="AY55" i="5"/>
  <c r="AY65" i="5"/>
  <c r="AY61" i="5"/>
  <c r="AY59" i="5"/>
  <c r="AY48" i="5"/>
  <c r="AW48" i="5"/>
  <c r="W103" i="5"/>
  <c r="AD14" i="5"/>
  <c r="AD15" i="5"/>
  <c r="AD16" i="5"/>
  <c r="AD17" i="5"/>
  <c r="AB13" i="5"/>
  <c r="U13" i="5"/>
  <c r="AB17" i="5"/>
  <c r="AB16" i="5"/>
  <c r="AB15" i="5"/>
  <c r="AB14" i="5"/>
  <c r="U17" i="5"/>
  <c r="U16" i="5"/>
  <c r="U15" i="5"/>
  <c r="U14" i="5"/>
  <c r="AW61" i="5"/>
  <c r="AW60" i="5"/>
  <c r="AW59" i="5"/>
  <c r="AW58" i="5"/>
  <c r="AW57" i="5"/>
  <c r="AP61" i="5"/>
  <c r="AP60" i="5"/>
  <c r="AP59" i="5"/>
  <c r="AP58" i="5"/>
  <c r="AP57" i="5"/>
  <c r="AI61" i="5"/>
  <c r="AI60" i="5"/>
  <c r="AI59" i="5"/>
  <c r="AI58" i="5"/>
  <c r="AI57" i="5"/>
  <c r="AB61" i="5"/>
  <c r="AB60" i="5"/>
  <c r="AB59" i="5"/>
  <c r="AB58" i="5"/>
  <c r="AB57" i="5"/>
  <c r="AW124" i="5"/>
  <c r="AP124" i="5"/>
  <c r="AW65" i="5"/>
  <c r="AP65" i="5"/>
  <c r="AI65" i="5"/>
  <c r="AB65" i="5"/>
  <c r="AP80" i="5"/>
  <c r="AP79" i="5"/>
  <c r="AP78" i="5"/>
  <c r="AP77" i="5"/>
  <c r="AP76" i="5"/>
  <c r="AP75" i="5"/>
  <c r="AP74" i="5"/>
  <c r="AP73" i="5"/>
  <c r="AP72" i="5"/>
  <c r="AP71" i="5"/>
  <c r="AP70" i="5"/>
  <c r="AP81" i="5"/>
  <c r="AB52" i="5"/>
  <c r="AB51" i="5"/>
  <c r="AB50" i="5"/>
  <c r="AB49" i="5"/>
  <c r="U115" i="5"/>
  <c r="AP48" i="5"/>
  <c r="AI48" i="5"/>
  <c r="AI95" i="5"/>
  <c r="AP53" i="5"/>
  <c r="AP54" i="5"/>
  <c r="AP55" i="5"/>
  <c r="AW55" i="5" s="1"/>
  <c r="U118" i="5"/>
  <c r="U117" i="5"/>
  <c r="U116" i="5"/>
  <c r="U105" i="5"/>
  <c r="U104" i="5"/>
  <c r="U103" i="5"/>
  <c r="U107" i="5"/>
  <c r="U106" i="5"/>
  <c r="U112" i="5"/>
  <c r="U111" i="5"/>
  <c r="U110" i="5"/>
  <c r="U109" i="5"/>
  <c r="U108" i="5"/>
  <c r="N107" i="5"/>
  <c r="N106" i="5"/>
  <c r="N105" i="5"/>
  <c r="N104" i="5"/>
  <c r="N103" i="5"/>
  <c r="U100" i="5"/>
  <c r="U99" i="5"/>
  <c r="U98" i="5"/>
  <c r="N101" i="5"/>
  <c r="N100" i="5"/>
  <c r="N99" i="5"/>
  <c r="N98" i="5"/>
  <c r="U29" i="5"/>
  <c r="U30" i="5"/>
  <c r="U31" i="5"/>
  <c r="U28" i="5"/>
  <c r="U25" i="5"/>
  <c r="U26" i="5"/>
  <c r="U24" i="5"/>
  <c r="U20" i="5"/>
  <c r="U21" i="5"/>
  <c r="U22" i="5"/>
  <c r="U19" i="5"/>
  <c r="AW125" i="5"/>
  <c r="AW120" i="5"/>
  <c r="AW121" i="5"/>
  <c r="AW64" i="5"/>
  <c r="AW66" i="5"/>
  <c r="AW67" i="5"/>
  <c r="AW68" i="5"/>
  <c r="AW63" i="5"/>
  <c r="AW85" i="5"/>
  <c r="AW86" i="5"/>
  <c r="AW87" i="5"/>
  <c r="AW88" i="5"/>
  <c r="AW84" i="5"/>
  <c r="AW91" i="5"/>
  <c r="AW92" i="5"/>
  <c r="AW93" i="5"/>
  <c r="AW90" i="5"/>
  <c r="AI124" i="5"/>
  <c r="AB124" i="5"/>
  <c r="AW123" i="5"/>
  <c r="AP123" i="5"/>
  <c r="AI123" i="5"/>
  <c r="AB123" i="5"/>
  <c r="U123" i="5"/>
  <c r="N123" i="5"/>
  <c r="N114" i="5"/>
  <c r="N102" i="5"/>
  <c r="N97" i="5"/>
  <c r="N38" i="5"/>
  <c r="N37" i="5"/>
  <c r="N36" i="5"/>
  <c r="N40" i="5"/>
  <c r="N44" i="5"/>
  <c r="N43" i="5"/>
  <c r="N42" i="5"/>
  <c r="N34" i="5"/>
  <c r="F9" i="6"/>
  <c r="BH125" i="5"/>
  <c r="BH124" i="5"/>
  <c r="BH123" i="5"/>
  <c r="BH122" i="5"/>
  <c r="BH121" i="5"/>
  <c r="BH120" i="5"/>
  <c r="BH119" i="5"/>
  <c r="BH118" i="5"/>
  <c r="BH117" i="5"/>
  <c r="BH116" i="5"/>
  <c r="BH115" i="5"/>
  <c r="BH114" i="5"/>
  <c r="BH113" i="5"/>
  <c r="BH112" i="5"/>
  <c r="BH111" i="5"/>
  <c r="BH110" i="5"/>
  <c r="BH109" i="5"/>
  <c r="BH108" i="5"/>
  <c r="BH107" i="5"/>
  <c r="BH106" i="5"/>
  <c r="BH105" i="5"/>
  <c r="BH104" i="5"/>
  <c r="BH103" i="5"/>
  <c r="BH102" i="5"/>
  <c r="BH101" i="5"/>
  <c r="BH100" i="5"/>
  <c r="BH99" i="5"/>
  <c r="BH98" i="5"/>
  <c r="BH97" i="5"/>
  <c r="BH96" i="5"/>
  <c r="BH95" i="5"/>
  <c r="BH94" i="5"/>
  <c r="BH93" i="5"/>
  <c r="BH92" i="5"/>
  <c r="BH91" i="5"/>
  <c r="BH90" i="5"/>
  <c r="BH89" i="5"/>
  <c r="BH88" i="5"/>
  <c r="BH87" i="5"/>
  <c r="BH86" i="5"/>
  <c r="BH85" i="5"/>
  <c r="BH84" i="5"/>
  <c r="BH83" i="5"/>
  <c r="BH82" i="5"/>
  <c r="BH81" i="5"/>
  <c r="BH80" i="5"/>
  <c r="BH79" i="5"/>
  <c r="BH78" i="5"/>
  <c r="BH77" i="5"/>
  <c r="BH76" i="5"/>
  <c r="BH75" i="5"/>
  <c r="BH74" i="5"/>
  <c r="BH73" i="5"/>
  <c r="BH72" i="5"/>
  <c r="BH71" i="5"/>
  <c r="BH70" i="5"/>
  <c r="BH69" i="5"/>
  <c r="BH68" i="5"/>
  <c r="BH67" i="5"/>
  <c r="BH66" i="5"/>
  <c r="BH65" i="5"/>
  <c r="BH64" i="5"/>
  <c r="BH63" i="5"/>
  <c r="BH62" i="5"/>
  <c r="BH61" i="5"/>
  <c r="BH60" i="5"/>
  <c r="BH59" i="5"/>
  <c r="BH58" i="5"/>
  <c r="BH57" i="5"/>
  <c r="BH56" i="5"/>
  <c r="BH55" i="5"/>
  <c r="BH54" i="5"/>
  <c r="BH53" i="5"/>
  <c r="BH52" i="5"/>
  <c r="BH51" i="5"/>
  <c r="BH50" i="5"/>
  <c r="BH49" i="5"/>
  <c r="BH48" i="5"/>
  <c r="BH47" i="5"/>
  <c r="BH46" i="5"/>
  <c r="BH45" i="5"/>
  <c r="BH44" i="5"/>
  <c r="BH43" i="5"/>
  <c r="BH42" i="5"/>
  <c r="BH41" i="5"/>
  <c r="BH40" i="5"/>
  <c r="BH39" i="5"/>
  <c r="BH38" i="5"/>
  <c r="BH37" i="5"/>
  <c r="BH36" i="5"/>
  <c r="BH35" i="5"/>
  <c r="BH34" i="5"/>
  <c r="BH33" i="5"/>
  <c r="BH32" i="5"/>
  <c r="BH31" i="5"/>
  <c r="BH30" i="5"/>
  <c r="BH29" i="5"/>
  <c r="BH28" i="5"/>
  <c r="BH27" i="5"/>
  <c r="BH26" i="5"/>
  <c r="BH25" i="5"/>
  <c r="BH24" i="5"/>
  <c r="BH23" i="5"/>
  <c r="BH22" i="5"/>
  <c r="BH21" i="5"/>
  <c r="BH20" i="5"/>
  <c r="BH19" i="5"/>
  <c r="BH18" i="5"/>
  <c r="BH17" i="5"/>
  <c r="BH16" i="5"/>
  <c r="BH15" i="5"/>
  <c r="BH14" i="5"/>
  <c r="BH13" i="5"/>
  <c r="BH12" i="5"/>
  <c r="BH11" i="5"/>
  <c r="BH10" i="5"/>
  <c r="BH9" i="5"/>
  <c r="BH8" i="5"/>
  <c r="BH7" i="5"/>
  <c r="BH6" i="5"/>
  <c r="BE125" i="5"/>
  <c r="BE124" i="5"/>
  <c r="BE123" i="5"/>
  <c r="BE122" i="5"/>
  <c r="BE121" i="5"/>
  <c r="BE120" i="5"/>
  <c r="BE119" i="5"/>
  <c r="BE118" i="5"/>
  <c r="BE117" i="5"/>
  <c r="BE116" i="5"/>
  <c r="BE115" i="5"/>
  <c r="BE114" i="5"/>
  <c r="BE113" i="5"/>
  <c r="BE112" i="5"/>
  <c r="BE111" i="5"/>
  <c r="BE110" i="5"/>
  <c r="BE109" i="5"/>
  <c r="BE108" i="5"/>
  <c r="BE107" i="5"/>
  <c r="BE106" i="5"/>
  <c r="BE105" i="5"/>
  <c r="BE104" i="5"/>
  <c r="BE103" i="5"/>
  <c r="BE102" i="5"/>
  <c r="BE101" i="5"/>
  <c r="BE100" i="5"/>
  <c r="BE99" i="5"/>
  <c r="BE98" i="5"/>
  <c r="BE97" i="5"/>
  <c r="BE96" i="5"/>
  <c r="BE95" i="5"/>
  <c r="BE94" i="5"/>
  <c r="BE93" i="5"/>
  <c r="BE92" i="5"/>
  <c r="BE91" i="5"/>
  <c r="BE90" i="5"/>
  <c r="BE89" i="5"/>
  <c r="BE88" i="5"/>
  <c r="BE87" i="5"/>
  <c r="BE86" i="5"/>
  <c r="BE85" i="5"/>
  <c r="BE84" i="5"/>
  <c r="BE83" i="5"/>
  <c r="BE82" i="5"/>
  <c r="BE81" i="5"/>
  <c r="BE80" i="5"/>
  <c r="BE79" i="5"/>
  <c r="BE78" i="5"/>
  <c r="BE77" i="5"/>
  <c r="BE76" i="5"/>
  <c r="BE75" i="5"/>
  <c r="BE74" i="5"/>
  <c r="BE73" i="5"/>
  <c r="BE72" i="5"/>
  <c r="BE71" i="5"/>
  <c r="BE70" i="5"/>
  <c r="BE69" i="5"/>
  <c r="BE68" i="5"/>
  <c r="BE67" i="5"/>
  <c r="BE66" i="5"/>
  <c r="BE65" i="5"/>
  <c r="BE64" i="5"/>
  <c r="BE63" i="5"/>
  <c r="BE62" i="5"/>
  <c r="BE61" i="5"/>
  <c r="BE60" i="5"/>
  <c r="BE59" i="5"/>
  <c r="BE58" i="5"/>
  <c r="BE57" i="5"/>
  <c r="BE56" i="5"/>
  <c r="BE55" i="5"/>
  <c r="BE54" i="5"/>
  <c r="BE53" i="5"/>
  <c r="BE52" i="5"/>
  <c r="BE51" i="5"/>
  <c r="BE50" i="5"/>
  <c r="BE49" i="5"/>
  <c r="BE48" i="5"/>
  <c r="BE47" i="5"/>
  <c r="BE46" i="5"/>
  <c r="BE45" i="5"/>
  <c r="BE44" i="5"/>
  <c r="BE43" i="5"/>
  <c r="BE42" i="5"/>
  <c r="BE41" i="5"/>
  <c r="BE40" i="5"/>
  <c r="BE39" i="5"/>
  <c r="BE38" i="5"/>
  <c r="BE37" i="5"/>
  <c r="BE36" i="5"/>
  <c r="BE35" i="5"/>
  <c r="BE34" i="5"/>
  <c r="BE33" i="5"/>
  <c r="BE32" i="5"/>
  <c r="BE31" i="5"/>
  <c r="BE30" i="5"/>
  <c r="BE29" i="5"/>
  <c r="BE28" i="5"/>
  <c r="BE27" i="5"/>
  <c r="BE26" i="5"/>
  <c r="BE25" i="5"/>
  <c r="BE24" i="5"/>
  <c r="BE23" i="5"/>
  <c r="BE22" i="5"/>
  <c r="BE21" i="5"/>
  <c r="BE20" i="5"/>
  <c r="BE19" i="5"/>
  <c r="BE18" i="5"/>
  <c r="BE17" i="5"/>
  <c r="BE16" i="5"/>
  <c r="BE15" i="5"/>
  <c r="BE14" i="5"/>
  <c r="BE13" i="5"/>
  <c r="BE12" i="5"/>
  <c r="BE11" i="5"/>
  <c r="BE10" i="5"/>
  <c r="BE9" i="5"/>
  <c r="BE8" i="5"/>
  <c r="BE7" i="5"/>
  <c r="BE6" i="5"/>
  <c r="BA125" i="5"/>
  <c r="BA124" i="5"/>
  <c r="BA123" i="5"/>
  <c r="BA122" i="5"/>
  <c r="BA121" i="5"/>
  <c r="BA120" i="5"/>
  <c r="BA119" i="5"/>
  <c r="BA118" i="5"/>
  <c r="BA117" i="5"/>
  <c r="BA116" i="5"/>
  <c r="BA115" i="5"/>
  <c r="BA114" i="5"/>
  <c r="BA113" i="5"/>
  <c r="BA112" i="5"/>
  <c r="BA111" i="5"/>
  <c r="BA110" i="5"/>
  <c r="BA109" i="5"/>
  <c r="BA108" i="5"/>
  <c r="BA107" i="5"/>
  <c r="BA106" i="5"/>
  <c r="BA105" i="5"/>
  <c r="BA104" i="5"/>
  <c r="BA103" i="5"/>
  <c r="BA102" i="5"/>
  <c r="BA101" i="5"/>
  <c r="BA100" i="5"/>
  <c r="BA99" i="5"/>
  <c r="BA98" i="5"/>
  <c r="BA97" i="5"/>
  <c r="BA96" i="5"/>
  <c r="BA95" i="5"/>
  <c r="BA94" i="5"/>
  <c r="BA93" i="5"/>
  <c r="BA92" i="5"/>
  <c r="BA91" i="5"/>
  <c r="BA90" i="5"/>
  <c r="BA89" i="5"/>
  <c r="BA88" i="5"/>
  <c r="BA87" i="5"/>
  <c r="BA86" i="5"/>
  <c r="BA85" i="5"/>
  <c r="BA84" i="5"/>
  <c r="BA83" i="5"/>
  <c r="BA82" i="5"/>
  <c r="BA81" i="5"/>
  <c r="BA80" i="5"/>
  <c r="BA79" i="5"/>
  <c r="BA78" i="5"/>
  <c r="BA77" i="5"/>
  <c r="BA76" i="5"/>
  <c r="BA75" i="5"/>
  <c r="BA74" i="5"/>
  <c r="BA73" i="5"/>
  <c r="BA72" i="5"/>
  <c r="BA71" i="5"/>
  <c r="BA70" i="5"/>
  <c r="BA69" i="5"/>
  <c r="BA68" i="5"/>
  <c r="BA67" i="5"/>
  <c r="BA66" i="5"/>
  <c r="BA65" i="5"/>
  <c r="BA64" i="5"/>
  <c r="BA63" i="5"/>
  <c r="BA62" i="5"/>
  <c r="BA61" i="5"/>
  <c r="BA60" i="5"/>
  <c r="BA59" i="5"/>
  <c r="BA58" i="5"/>
  <c r="BA57" i="5"/>
  <c r="BA56" i="5"/>
  <c r="BA55" i="5"/>
  <c r="BA54" i="5"/>
  <c r="BA53" i="5"/>
  <c r="BA52" i="5"/>
  <c r="BA51" i="5"/>
  <c r="BA50" i="5"/>
  <c r="BA49" i="5"/>
  <c r="BA48" i="5"/>
  <c r="BA47" i="5"/>
  <c r="BA46" i="5"/>
  <c r="BA45" i="5"/>
  <c r="BA44" i="5"/>
  <c r="BA43" i="5"/>
  <c r="BA42" i="5"/>
  <c r="BA41" i="5"/>
  <c r="BA40" i="5"/>
  <c r="BA39" i="5"/>
  <c r="BA38" i="5"/>
  <c r="BA37" i="5"/>
  <c r="BA36" i="5"/>
  <c r="BA35" i="5"/>
  <c r="BA34" i="5"/>
  <c r="BA33" i="5"/>
  <c r="BA32" i="5"/>
  <c r="BA31" i="5"/>
  <c r="BA30" i="5"/>
  <c r="BA29" i="5"/>
  <c r="BA28" i="5"/>
  <c r="BA27" i="5"/>
  <c r="BA26" i="5"/>
  <c r="BA25" i="5"/>
  <c r="BA24" i="5"/>
  <c r="BA23" i="5"/>
  <c r="BA22" i="5"/>
  <c r="BA21" i="5"/>
  <c r="BA20" i="5"/>
  <c r="BA19" i="5"/>
  <c r="BA18" i="5"/>
  <c r="BA17" i="5"/>
  <c r="BA16" i="5"/>
  <c r="BA15" i="5"/>
  <c r="BA14" i="5"/>
  <c r="BA13" i="5"/>
  <c r="BA12" i="5"/>
  <c r="BA11" i="5"/>
  <c r="BA10" i="5"/>
  <c r="BA9" i="5"/>
  <c r="BA8" i="5"/>
  <c r="BA7" i="5"/>
  <c r="BA6" i="5"/>
  <c r="AX8" i="5"/>
  <c r="AX7" i="5"/>
  <c r="AT125" i="5"/>
  <c r="AT124" i="5"/>
  <c r="AT123" i="5"/>
  <c r="AT122" i="5"/>
  <c r="AT121" i="5"/>
  <c r="AT120" i="5"/>
  <c r="AT119" i="5"/>
  <c r="AT118" i="5"/>
  <c r="AT117" i="5"/>
  <c r="AT116" i="5"/>
  <c r="AT115" i="5"/>
  <c r="AT114" i="5"/>
  <c r="AT113" i="5"/>
  <c r="AT112" i="5"/>
  <c r="AT111" i="5"/>
  <c r="AT110" i="5"/>
  <c r="AT109" i="5"/>
  <c r="AT108" i="5"/>
  <c r="AT107" i="5"/>
  <c r="AT106" i="5"/>
  <c r="AT105" i="5"/>
  <c r="AT104" i="5"/>
  <c r="AT103" i="5"/>
  <c r="AT102" i="5"/>
  <c r="AT101" i="5"/>
  <c r="AT100" i="5"/>
  <c r="AT99" i="5"/>
  <c r="AT98" i="5"/>
  <c r="AT97" i="5"/>
  <c r="AT96" i="5"/>
  <c r="AT95" i="5"/>
  <c r="AT94" i="5"/>
  <c r="AT93" i="5"/>
  <c r="AT92" i="5"/>
  <c r="AT91" i="5"/>
  <c r="AT90" i="5"/>
  <c r="AT89" i="5"/>
  <c r="AT88" i="5"/>
  <c r="AT87" i="5"/>
  <c r="AT86" i="5"/>
  <c r="AT85" i="5"/>
  <c r="AT84" i="5"/>
  <c r="AT83" i="5"/>
  <c r="AT82" i="5"/>
  <c r="AT81" i="5"/>
  <c r="AT80" i="5"/>
  <c r="AT79" i="5"/>
  <c r="AT78" i="5"/>
  <c r="AT77" i="5"/>
  <c r="AT76" i="5"/>
  <c r="AT75" i="5"/>
  <c r="AT74" i="5"/>
  <c r="AT73" i="5"/>
  <c r="AT72" i="5"/>
  <c r="AT71" i="5"/>
  <c r="AT70" i="5"/>
  <c r="AT69" i="5"/>
  <c r="AT68" i="5"/>
  <c r="AT67" i="5"/>
  <c r="AT66" i="5"/>
  <c r="AT65" i="5"/>
  <c r="AT64" i="5"/>
  <c r="AT63" i="5"/>
  <c r="AT62" i="5"/>
  <c r="AT61" i="5"/>
  <c r="AT60" i="5"/>
  <c r="AT59" i="5"/>
  <c r="AT58" i="5"/>
  <c r="AT57" i="5"/>
  <c r="AT56" i="5"/>
  <c r="AT55" i="5"/>
  <c r="AT54" i="5"/>
  <c r="AT53" i="5"/>
  <c r="AT52" i="5"/>
  <c r="AT51" i="5"/>
  <c r="AT50" i="5"/>
  <c r="AT49" i="5"/>
  <c r="AT48" i="5"/>
  <c r="AT47" i="5"/>
  <c r="AT46" i="5"/>
  <c r="AT45" i="5"/>
  <c r="AT44" i="5"/>
  <c r="AT43" i="5"/>
  <c r="AT42" i="5"/>
  <c r="AT41" i="5"/>
  <c r="AT40" i="5"/>
  <c r="AT39" i="5"/>
  <c r="AT38" i="5"/>
  <c r="AT37" i="5"/>
  <c r="AT36" i="5"/>
  <c r="AT35" i="5"/>
  <c r="AT34" i="5"/>
  <c r="AT33" i="5"/>
  <c r="AT32" i="5"/>
  <c r="AT31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5" i="5"/>
  <c r="AT14" i="5"/>
  <c r="AT13" i="5"/>
  <c r="AT12" i="5"/>
  <c r="AT11" i="5"/>
  <c r="AT10" i="5"/>
  <c r="AT9" i="5"/>
  <c r="AT8" i="5"/>
  <c r="AT7" i="5"/>
  <c r="AT6" i="5"/>
  <c r="AQ8" i="5"/>
  <c r="AQ7" i="5"/>
  <c r="AM125" i="5"/>
  <c r="AM124" i="5"/>
  <c r="AM123" i="5"/>
  <c r="AM122" i="5"/>
  <c r="AM121" i="5"/>
  <c r="AM120" i="5"/>
  <c r="AM119" i="5"/>
  <c r="AM118" i="5"/>
  <c r="AM117" i="5"/>
  <c r="AM116" i="5"/>
  <c r="AM115" i="5"/>
  <c r="AM114" i="5"/>
  <c r="AM113" i="5"/>
  <c r="AM112" i="5"/>
  <c r="AM111" i="5"/>
  <c r="AM110" i="5"/>
  <c r="AM109" i="5"/>
  <c r="AM108" i="5"/>
  <c r="AM107" i="5"/>
  <c r="AM106" i="5"/>
  <c r="AM105" i="5"/>
  <c r="AM104" i="5"/>
  <c r="AM103" i="5"/>
  <c r="AM102" i="5"/>
  <c r="AM101" i="5"/>
  <c r="AM100" i="5"/>
  <c r="AM99" i="5"/>
  <c r="AM98" i="5"/>
  <c r="AM97" i="5"/>
  <c r="AM96" i="5"/>
  <c r="AM95" i="5"/>
  <c r="AM94" i="5"/>
  <c r="AM93" i="5"/>
  <c r="AM92" i="5"/>
  <c r="AM91" i="5"/>
  <c r="AM90" i="5"/>
  <c r="AM89" i="5"/>
  <c r="AM88" i="5"/>
  <c r="AM87" i="5"/>
  <c r="AM86" i="5"/>
  <c r="AM85" i="5"/>
  <c r="AM84" i="5"/>
  <c r="AM83" i="5"/>
  <c r="AM82" i="5"/>
  <c r="AM81" i="5"/>
  <c r="AM80" i="5"/>
  <c r="AM79" i="5"/>
  <c r="AM78" i="5"/>
  <c r="AM77" i="5"/>
  <c r="AM76" i="5"/>
  <c r="AM75" i="5"/>
  <c r="AM74" i="5"/>
  <c r="AM73" i="5"/>
  <c r="AM72" i="5"/>
  <c r="AM71" i="5"/>
  <c r="AM70" i="5"/>
  <c r="AM69" i="5"/>
  <c r="AM68" i="5"/>
  <c r="AM67" i="5"/>
  <c r="AM66" i="5"/>
  <c r="AM65" i="5"/>
  <c r="AM64" i="5"/>
  <c r="AM63" i="5"/>
  <c r="AM62" i="5"/>
  <c r="AM61" i="5"/>
  <c r="AM60" i="5"/>
  <c r="AM59" i="5"/>
  <c r="AM58" i="5"/>
  <c r="AM57" i="5"/>
  <c r="AM56" i="5"/>
  <c r="AM55" i="5"/>
  <c r="AM54" i="5"/>
  <c r="AM53" i="5"/>
  <c r="AM52" i="5"/>
  <c r="AM51" i="5"/>
  <c r="AM50" i="5"/>
  <c r="AM49" i="5"/>
  <c r="AM48" i="5"/>
  <c r="AM47" i="5"/>
  <c r="AM46" i="5"/>
  <c r="AM45" i="5"/>
  <c r="AM44" i="5"/>
  <c r="AM43" i="5"/>
  <c r="AM42" i="5"/>
  <c r="AM41" i="5"/>
  <c r="AM40" i="5"/>
  <c r="AM39" i="5"/>
  <c r="AM38" i="5"/>
  <c r="AM37" i="5"/>
  <c r="AM36" i="5"/>
  <c r="AM35" i="5"/>
  <c r="AM34" i="5"/>
  <c r="AM33" i="5"/>
  <c r="AM32" i="5"/>
  <c r="AM31" i="5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AM13" i="5"/>
  <c r="AM12" i="5"/>
  <c r="AM11" i="5"/>
  <c r="AM10" i="5"/>
  <c r="AM9" i="5"/>
  <c r="AM8" i="5"/>
  <c r="AM7" i="5"/>
  <c r="AM6" i="5"/>
  <c r="AJ8" i="5"/>
  <c r="AJ7" i="5"/>
  <c r="AF125" i="5"/>
  <c r="AF124" i="5"/>
  <c r="AF123" i="5"/>
  <c r="AF122" i="5"/>
  <c r="AF121" i="5"/>
  <c r="AF120" i="5"/>
  <c r="AF119" i="5"/>
  <c r="AF118" i="5"/>
  <c r="AF117" i="5"/>
  <c r="AF116" i="5"/>
  <c r="AF115" i="5"/>
  <c r="AF114" i="5"/>
  <c r="AF113" i="5"/>
  <c r="AF112" i="5"/>
  <c r="AF111" i="5"/>
  <c r="AF110" i="5"/>
  <c r="AF109" i="5"/>
  <c r="AF108" i="5"/>
  <c r="AF107" i="5"/>
  <c r="AF106" i="5"/>
  <c r="AF105" i="5"/>
  <c r="AF104" i="5"/>
  <c r="AF103" i="5"/>
  <c r="AF102" i="5"/>
  <c r="AF101" i="5"/>
  <c r="AF100" i="5"/>
  <c r="AF99" i="5"/>
  <c r="AF98" i="5"/>
  <c r="AF97" i="5"/>
  <c r="AF96" i="5"/>
  <c r="AF95" i="5"/>
  <c r="AF94" i="5"/>
  <c r="AF93" i="5"/>
  <c r="AF92" i="5"/>
  <c r="AF91" i="5"/>
  <c r="AF90" i="5"/>
  <c r="AF89" i="5"/>
  <c r="AF88" i="5"/>
  <c r="AF87" i="5"/>
  <c r="AF86" i="5"/>
  <c r="AF85" i="5"/>
  <c r="AF84" i="5"/>
  <c r="AF83" i="5"/>
  <c r="AF82" i="5"/>
  <c r="AF81" i="5"/>
  <c r="AF80" i="5"/>
  <c r="AF79" i="5"/>
  <c r="AF78" i="5"/>
  <c r="AF77" i="5"/>
  <c r="AF76" i="5"/>
  <c r="AF75" i="5"/>
  <c r="AF74" i="5"/>
  <c r="AF73" i="5"/>
  <c r="AF72" i="5"/>
  <c r="AF71" i="5"/>
  <c r="AF70" i="5"/>
  <c r="AF69" i="5"/>
  <c r="AF68" i="5"/>
  <c r="AF67" i="5"/>
  <c r="AF66" i="5"/>
  <c r="AF65" i="5"/>
  <c r="AF64" i="5"/>
  <c r="AF63" i="5"/>
  <c r="AF62" i="5"/>
  <c r="AF61" i="5"/>
  <c r="AF60" i="5"/>
  <c r="AF59" i="5"/>
  <c r="AF58" i="5"/>
  <c r="AF57" i="5"/>
  <c r="AF56" i="5"/>
  <c r="AF55" i="5"/>
  <c r="AF54" i="5"/>
  <c r="AF53" i="5"/>
  <c r="AF52" i="5"/>
  <c r="AF51" i="5"/>
  <c r="AF50" i="5"/>
  <c r="AF49" i="5"/>
  <c r="AF48" i="5"/>
  <c r="AF47" i="5"/>
  <c r="AF46" i="5"/>
  <c r="AF45" i="5"/>
  <c r="AF44" i="5"/>
  <c r="AF43" i="5"/>
  <c r="AF42" i="5"/>
  <c r="AF41" i="5"/>
  <c r="AF40" i="5"/>
  <c r="AF39" i="5"/>
  <c r="AF38" i="5"/>
  <c r="AF37" i="5"/>
  <c r="AF36" i="5"/>
  <c r="AF35" i="5"/>
  <c r="AF34" i="5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F8" i="5"/>
  <c r="AF7" i="5"/>
  <c r="AF6" i="5"/>
  <c r="AC8" i="5"/>
  <c r="AC7" i="5"/>
  <c r="Y125" i="5"/>
  <c r="Y124" i="5"/>
  <c r="Y123" i="5"/>
  <c r="Y122" i="5"/>
  <c r="Y121" i="5"/>
  <c r="Y120" i="5"/>
  <c r="Y119" i="5"/>
  <c r="Y118" i="5"/>
  <c r="Y117" i="5"/>
  <c r="Y116" i="5"/>
  <c r="Y115" i="5"/>
  <c r="Y114" i="5"/>
  <c r="Y113" i="5"/>
  <c r="Y112" i="5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Y72" i="5"/>
  <c r="Y71" i="5"/>
  <c r="Y70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V8" i="5"/>
  <c r="V7" i="5"/>
  <c r="R125" i="5"/>
  <c r="R124" i="5"/>
  <c r="R123" i="5"/>
  <c r="R122" i="5"/>
  <c r="R121" i="5"/>
  <c r="R120" i="5"/>
  <c r="R119" i="5"/>
  <c r="R118" i="5"/>
  <c r="R117" i="5"/>
  <c r="R116" i="5"/>
  <c r="R115" i="5"/>
  <c r="R114" i="5"/>
  <c r="R113" i="5"/>
  <c r="R112" i="5"/>
  <c r="R111" i="5"/>
  <c r="R110" i="5"/>
  <c r="R109" i="5"/>
  <c r="R108" i="5"/>
  <c r="R107" i="5"/>
  <c r="R106" i="5"/>
  <c r="R105" i="5"/>
  <c r="R104" i="5"/>
  <c r="R103" i="5"/>
  <c r="R102" i="5"/>
  <c r="R101" i="5"/>
  <c r="R100" i="5"/>
  <c r="R99" i="5"/>
  <c r="R98" i="5"/>
  <c r="R97" i="5"/>
  <c r="R96" i="5"/>
  <c r="R95" i="5"/>
  <c r="R94" i="5"/>
  <c r="R93" i="5"/>
  <c r="R92" i="5"/>
  <c r="R91" i="5"/>
  <c r="R90" i="5"/>
  <c r="R89" i="5"/>
  <c r="R88" i="5"/>
  <c r="R87" i="5"/>
  <c r="R86" i="5"/>
  <c r="R85" i="5"/>
  <c r="R84" i="5"/>
  <c r="R83" i="5"/>
  <c r="R82" i="5"/>
  <c r="R81" i="5"/>
  <c r="R80" i="5"/>
  <c r="R79" i="5"/>
  <c r="R78" i="5"/>
  <c r="R77" i="5"/>
  <c r="R76" i="5"/>
  <c r="R75" i="5"/>
  <c r="R74" i="5"/>
  <c r="R73" i="5"/>
  <c r="R72" i="5"/>
  <c r="R71" i="5"/>
  <c r="R70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R7" i="5"/>
  <c r="R6" i="5"/>
  <c r="O9" i="5"/>
  <c r="O8" i="5"/>
  <c r="O7" i="5"/>
  <c r="BB18" i="5"/>
  <c r="AU18" i="5"/>
  <c r="AN18" i="5"/>
  <c r="AG18" i="5"/>
  <c r="Z18" i="5"/>
  <c r="BI6" i="5"/>
  <c r="BF6" i="5"/>
  <c r="BB6" i="5"/>
  <c r="AU6" i="5"/>
  <c r="AN6" i="5"/>
  <c r="AG6" i="5"/>
  <c r="Z6" i="5"/>
  <c r="O6" i="5"/>
  <c r="D11" i="6"/>
  <c r="A12" i="6"/>
  <c r="AB12" i="6" s="1"/>
  <c r="A11" i="6"/>
  <c r="AB11" i="6" s="1"/>
  <c r="A10" i="6"/>
  <c r="A9" i="6"/>
  <c r="R1" i="6"/>
  <c r="H11" i="6" l="1"/>
  <c r="T11" i="6"/>
  <c r="L9" i="6"/>
  <c r="X9" i="6"/>
  <c r="L10" i="6"/>
  <c r="X10" i="6"/>
  <c r="B9" i="6"/>
  <c r="B11" i="6"/>
  <c r="L11" i="6"/>
  <c r="P9" i="6"/>
  <c r="X11" i="6"/>
  <c r="AB9" i="6"/>
  <c r="T12" i="6"/>
  <c r="B10" i="6"/>
  <c r="L12" i="6"/>
  <c r="P10" i="6"/>
  <c r="X12" i="6"/>
  <c r="AB10" i="6"/>
  <c r="B12" i="6"/>
  <c r="D9" i="6"/>
  <c r="H9" i="6"/>
  <c r="P11" i="6"/>
  <c r="T9" i="6"/>
  <c r="D12" i="6"/>
  <c r="H12" i="6"/>
  <c r="D10" i="6"/>
  <c r="H10" i="6"/>
  <c r="P12" i="6"/>
  <c r="T10" i="6"/>
  <c r="AD9" i="6" l="1"/>
  <c r="AC9" i="6" s="1"/>
  <c r="X14" i="6"/>
  <c r="T14" i="6"/>
  <c r="AB14" i="6"/>
  <c r="L14" i="6"/>
  <c r="H14" i="6"/>
  <c r="AD11" i="6"/>
  <c r="AC11" i="6" s="1"/>
  <c r="P14" i="6"/>
  <c r="AD10" i="6"/>
  <c r="AC10" i="6" s="1"/>
  <c r="D14" i="6"/>
  <c r="D15" i="6" s="1"/>
  <c r="AD12" i="6"/>
  <c r="AC12" i="6" s="1"/>
  <c r="G12" i="6" l="1"/>
  <c r="W11" i="6"/>
  <c r="S10" i="6"/>
  <c r="K10" i="6"/>
  <c r="K11" i="6"/>
  <c r="K9" i="6"/>
  <c r="W9" i="6"/>
  <c r="W12" i="6"/>
  <c r="O12" i="6"/>
  <c r="AA9" i="6"/>
  <c r="O9" i="6"/>
  <c r="G9" i="6"/>
  <c r="G10" i="6"/>
  <c r="W10" i="6"/>
  <c r="AA10" i="6"/>
  <c r="K12" i="6"/>
  <c r="C10" i="6"/>
  <c r="O11" i="6"/>
  <c r="S9" i="6"/>
  <c r="S11" i="6"/>
  <c r="C11" i="6"/>
  <c r="S12" i="6"/>
  <c r="G11" i="6"/>
  <c r="O10" i="6"/>
  <c r="E9" i="6"/>
  <c r="AA12" i="6"/>
  <c r="AA11" i="6"/>
  <c r="G14" i="6"/>
  <c r="C9" i="6"/>
  <c r="W14" i="6"/>
  <c r="C12" i="6"/>
  <c r="AD13" i="6"/>
  <c r="AC13" i="6" s="1"/>
  <c r="O14" i="6"/>
  <c r="H17" i="6"/>
  <c r="G17" i="6" s="1"/>
  <c r="AA14" i="6"/>
  <c r="S14" i="6"/>
  <c r="K14" i="6"/>
  <c r="BD7" i="5"/>
  <c r="AW7" i="5"/>
  <c r="AY7" i="5"/>
  <c r="N9" i="5"/>
  <c r="AW8" i="5"/>
  <c r="BF125" i="5"/>
  <c r="BD125" i="5"/>
  <c r="BG125" i="5" s="1"/>
  <c r="BI125" i="5" s="1"/>
  <c r="BF124" i="5"/>
  <c r="BD124" i="5"/>
  <c r="BG124" i="5" s="1"/>
  <c r="BI124" i="5" s="1"/>
  <c r="BF123" i="5"/>
  <c r="BD123" i="5"/>
  <c r="BG123" i="5" s="1"/>
  <c r="BI123" i="5" s="1"/>
  <c r="BD121" i="5"/>
  <c r="BG121" i="5" s="1"/>
  <c r="BI121" i="5" s="1"/>
  <c r="BD120" i="5"/>
  <c r="BF120" i="5" s="1"/>
  <c r="BD118" i="5"/>
  <c r="BG118" i="5" s="1"/>
  <c r="BI118" i="5" s="1"/>
  <c r="BD117" i="5"/>
  <c r="BG117" i="5" s="1"/>
  <c r="BI117" i="5" s="1"/>
  <c r="BD116" i="5"/>
  <c r="BF116" i="5" s="1"/>
  <c r="BD115" i="5"/>
  <c r="BG115" i="5" s="1"/>
  <c r="BI115" i="5" s="1"/>
  <c r="BG114" i="5"/>
  <c r="BI114" i="5" s="1"/>
  <c r="BF114" i="5"/>
  <c r="BD114" i="5"/>
  <c r="BD112" i="5"/>
  <c r="BG112" i="5" s="1"/>
  <c r="BI112" i="5" s="1"/>
  <c r="BD111" i="5"/>
  <c r="BG111" i="5" s="1"/>
  <c r="BI111" i="5" s="1"/>
  <c r="BD110" i="5"/>
  <c r="BG110" i="5" s="1"/>
  <c r="BI110" i="5" s="1"/>
  <c r="BD109" i="5"/>
  <c r="BG109" i="5" s="1"/>
  <c r="BI109" i="5" s="1"/>
  <c r="BD108" i="5"/>
  <c r="BG108" i="5" s="1"/>
  <c r="BI108" i="5" s="1"/>
  <c r="BD107" i="5"/>
  <c r="BG107" i="5" s="1"/>
  <c r="BI107" i="5" s="1"/>
  <c r="BD106" i="5"/>
  <c r="BG106" i="5" s="1"/>
  <c r="BI106" i="5" s="1"/>
  <c r="BD105" i="5"/>
  <c r="BG105" i="5" s="1"/>
  <c r="BI105" i="5" s="1"/>
  <c r="BD104" i="5"/>
  <c r="BG104" i="5" s="1"/>
  <c r="BI104" i="5" s="1"/>
  <c r="BD103" i="5"/>
  <c r="BG103" i="5" s="1"/>
  <c r="BI103" i="5" s="1"/>
  <c r="BD102" i="5"/>
  <c r="BG102" i="5" s="1"/>
  <c r="BI102" i="5" s="1"/>
  <c r="BD101" i="5"/>
  <c r="BG101" i="5" s="1"/>
  <c r="BI101" i="5" s="1"/>
  <c r="BD100" i="5"/>
  <c r="BG100" i="5" s="1"/>
  <c r="BI100" i="5" s="1"/>
  <c r="BD99" i="5"/>
  <c r="BG99" i="5" s="1"/>
  <c r="BI99" i="5" s="1"/>
  <c r="BD98" i="5"/>
  <c r="BG98" i="5" s="1"/>
  <c r="BI98" i="5" s="1"/>
  <c r="BD97" i="5"/>
  <c r="BG97" i="5" s="1"/>
  <c r="BI97" i="5" s="1"/>
  <c r="BD95" i="5"/>
  <c r="BG95" i="5" s="1"/>
  <c r="BI95" i="5" s="1"/>
  <c r="BD93" i="5"/>
  <c r="BG93" i="5" s="1"/>
  <c r="BI93" i="5" s="1"/>
  <c r="BD92" i="5"/>
  <c r="BG92" i="5" s="1"/>
  <c r="BI92" i="5" s="1"/>
  <c r="BD91" i="5"/>
  <c r="BG91" i="5" s="1"/>
  <c r="BI91" i="5" s="1"/>
  <c r="BD90" i="5"/>
  <c r="BG90" i="5" s="1"/>
  <c r="BI90" i="5" s="1"/>
  <c r="BD88" i="5"/>
  <c r="BG88" i="5" s="1"/>
  <c r="BI88" i="5" s="1"/>
  <c r="BD87" i="5"/>
  <c r="BF87" i="5" s="1"/>
  <c r="BD86" i="5"/>
  <c r="BF86" i="5" s="1"/>
  <c r="BD85" i="5"/>
  <c r="BG85" i="5" s="1"/>
  <c r="BI85" i="5" s="1"/>
  <c r="BD84" i="5"/>
  <c r="BF84" i="5" s="1"/>
  <c r="BD81" i="5"/>
  <c r="BG81" i="5" s="1"/>
  <c r="BI81" i="5" s="1"/>
  <c r="BD80" i="5"/>
  <c r="BG80" i="5" s="1"/>
  <c r="BI80" i="5" s="1"/>
  <c r="BD79" i="5"/>
  <c r="BG79" i="5" s="1"/>
  <c r="BI79" i="5" s="1"/>
  <c r="BD78" i="5"/>
  <c r="BG78" i="5" s="1"/>
  <c r="BI78" i="5" s="1"/>
  <c r="BD77" i="5"/>
  <c r="BG77" i="5" s="1"/>
  <c r="BI77" i="5" s="1"/>
  <c r="BD76" i="5"/>
  <c r="BG76" i="5" s="1"/>
  <c r="BI76" i="5" s="1"/>
  <c r="BD75" i="5"/>
  <c r="BG75" i="5" s="1"/>
  <c r="BI75" i="5" s="1"/>
  <c r="BD74" i="5"/>
  <c r="BG74" i="5" s="1"/>
  <c r="BI74" i="5" s="1"/>
  <c r="BD73" i="5"/>
  <c r="BG73" i="5" s="1"/>
  <c r="BI73" i="5" s="1"/>
  <c r="BD72" i="5"/>
  <c r="BG72" i="5" s="1"/>
  <c r="BI72" i="5" s="1"/>
  <c r="BD71" i="5"/>
  <c r="BG71" i="5" s="1"/>
  <c r="BI71" i="5" s="1"/>
  <c r="BD70" i="5"/>
  <c r="BG70" i="5" s="1"/>
  <c r="BI70" i="5" s="1"/>
  <c r="BD68" i="5"/>
  <c r="BG68" i="5" s="1"/>
  <c r="BI68" i="5" s="1"/>
  <c r="BD67" i="5"/>
  <c r="BG67" i="5" s="1"/>
  <c r="BI67" i="5" s="1"/>
  <c r="BD66" i="5"/>
  <c r="BG66" i="5" s="1"/>
  <c r="BI66" i="5" s="1"/>
  <c r="BD65" i="5"/>
  <c r="BG65" i="5" s="1"/>
  <c r="BI65" i="5" s="1"/>
  <c r="BD64" i="5"/>
  <c r="BG64" i="5" s="1"/>
  <c r="BI64" i="5" s="1"/>
  <c r="BD63" i="5"/>
  <c r="BG63" i="5" s="1"/>
  <c r="BI63" i="5" s="1"/>
  <c r="BD61" i="5"/>
  <c r="BG61" i="5" s="1"/>
  <c r="BI61" i="5" s="1"/>
  <c r="BD60" i="5"/>
  <c r="BF60" i="5" s="1"/>
  <c r="BD59" i="5"/>
  <c r="BG59" i="5" s="1"/>
  <c r="BI59" i="5" s="1"/>
  <c r="BD58" i="5"/>
  <c r="BG58" i="5" s="1"/>
  <c r="BI58" i="5" s="1"/>
  <c r="BD57" i="5"/>
  <c r="BF57" i="5" s="1"/>
  <c r="BD55" i="5"/>
  <c r="BG55" i="5" s="1"/>
  <c r="BI55" i="5" s="1"/>
  <c r="BD54" i="5"/>
  <c r="BG54" i="5" s="1"/>
  <c r="BI54" i="5" s="1"/>
  <c r="BD53" i="5"/>
  <c r="BG53" i="5" s="1"/>
  <c r="BI53" i="5" s="1"/>
  <c r="BD52" i="5"/>
  <c r="BG52" i="5" s="1"/>
  <c r="BI52" i="5" s="1"/>
  <c r="BD51" i="5"/>
  <c r="BF51" i="5" s="1"/>
  <c r="BD50" i="5"/>
  <c r="BG50" i="5" s="1"/>
  <c r="BI50" i="5" s="1"/>
  <c r="BD49" i="5"/>
  <c r="BG49" i="5" s="1"/>
  <c r="BI49" i="5" s="1"/>
  <c r="BD48" i="5"/>
  <c r="BF48" i="5" s="1"/>
  <c r="BG44" i="5"/>
  <c r="BI44" i="5" s="1"/>
  <c r="BF44" i="5"/>
  <c r="BD44" i="5"/>
  <c r="BG43" i="5"/>
  <c r="BI43" i="5" s="1"/>
  <c r="BF43" i="5"/>
  <c r="BD43" i="5"/>
  <c r="BG42" i="5"/>
  <c r="BI42" i="5" s="1"/>
  <c r="BF42" i="5"/>
  <c r="BD42" i="5"/>
  <c r="BG40" i="5"/>
  <c r="BI40" i="5" s="1"/>
  <c r="BF40" i="5"/>
  <c r="BD40" i="5"/>
  <c r="BD38" i="5"/>
  <c r="BG38" i="5" s="1"/>
  <c r="BI38" i="5" s="1"/>
  <c r="BD37" i="5"/>
  <c r="BG37" i="5" s="1"/>
  <c r="BI37" i="5" s="1"/>
  <c r="BD36" i="5"/>
  <c r="BG36" i="5" s="1"/>
  <c r="BI36" i="5" s="1"/>
  <c r="BG34" i="5"/>
  <c r="BI34" i="5" s="1"/>
  <c r="BD34" i="5"/>
  <c r="BF34" i="5" s="1"/>
  <c r="BD31" i="5"/>
  <c r="BG31" i="5" s="1"/>
  <c r="BI31" i="5" s="1"/>
  <c r="BD30" i="5"/>
  <c r="BG30" i="5" s="1"/>
  <c r="BI30" i="5" s="1"/>
  <c r="BD29" i="5"/>
  <c r="BG29" i="5" s="1"/>
  <c r="BI29" i="5" s="1"/>
  <c r="BD28" i="5"/>
  <c r="BG28" i="5" s="1"/>
  <c r="BI28" i="5" s="1"/>
  <c r="BD26" i="5"/>
  <c r="BG26" i="5" s="1"/>
  <c r="BI26" i="5" s="1"/>
  <c r="BD25" i="5"/>
  <c r="BG25" i="5" s="1"/>
  <c r="BI25" i="5" s="1"/>
  <c r="BD24" i="5"/>
  <c r="BG24" i="5" s="1"/>
  <c r="BI24" i="5" s="1"/>
  <c r="BG22" i="5"/>
  <c r="BI22" i="5" s="1"/>
  <c r="BF22" i="5"/>
  <c r="BD22" i="5"/>
  <c r="BD21" i="5"/>
  <c r="BG21" i="5" s="1"/>
  <c r="BI21" i="5" s="1"/>
  <c r="BD20" i="5"/>
  <c r="BG20" i="5" s="1"/>
  <c r="BI20" i="5" s="1"/>
  <c r="BD19" i="5"/>
  <c r="BG19" i="5" s="1"/>
  <c r="BI19" i="5" s="1"/>
  <c r="BD17" i="5"/>
  <c r="BG17" i="5" s="1"/>
  <c r="BI17" i="5" s="1"/>
  <c r="BD16" i="5"/>
  <c r="BG16" i="5" s="1"/>
  <c r="BI16" i="5" s="1"/>
  <c r="BD15" i="5"/>
  <c r="BG15" i="5" s="1"/>
  <c r="BI15" i="5" s="1"/>
  <c r="BD14" i="5"/>
  <c r="BG14" i="5" s="1"/>
  <c r="BI14" i="5" s="1"/>
  <c r="BD13" i="5"/>
  <c r="BG13" i="5" s="1"/>
  <c r="BI13" i="5" s="1"/>
  <c r="BD9" i="5"/>
  <c r="BF9" i="5" s="1"/>
  <c r="BD8" i="5"/>
  <c r="BF8" i="5" s="1"/>
  <c r="L17" i="6" l="1"/>
  <c r="K17" i="6" s="1"/>
  <c r="BF121" i="5"/>
  <c r="BG120" i="5"/>
  <c r="BI120" i="5" s="1"/>
  <c r="BF118" i="5"/>
  <c r="BF115" i="5"/>
  <c r="BF117" i="5"/>
  <c r="BG116" i="5"/>
  <c r="BI116" i="5" s="1"/>
  <c r="BF109" i="5"/>
  <c r="BF110" i="5"/>
  <c r="BF111" i="5"/>
  <c r="BF112" i="5"/>
  <c r="BF108" i="5"/>
  <c r="BF97" i="5"/>
  <c r="BF98" i="5"/>
  <c r="BF99" i="5"/>
  <c r="BF100" i="5"/>
  <c r="BF101" i="5"/>
  <c r="BF102" i="5"/>
  <c r="BF103" i="5"/>
  <c r="BF104" i="5"/>
  <c r="BF105" i="5"/>
  <c r="BF106" i="5"/>
  <c r="BF107" i="5"/>
  <c r="BF95" i="5"/>
  <c r="BF90" i="5"/>
  <c r="BF91" i="5"/>
  <c r="BF92" i="5"/>
  <c r="BF93" i="5"/>
  <c r="BF85" i="5"/>
  <c r="BF88" i="5"/>
  <c r="BG84" i="5"/>
  <c r="BI84" i="5" s="1"/>
  <c r="BG86" i="5"/>
  <c r="BI86" i="5" s="1"/>
  <c r="BG87" i="5"/>
  <c r="BI87" i="5" s="1"/>
  <c r="BF70" i="5"/>
  <c r="BF71" i="5"/>
  <c r="BF72" i="5"/>
  <c r="BF73" i="5"/>
  <c r="BF74" i="5"/>
  <c r="BF75" i="5"/>
  <c r="BF76" i="5"/>
  <c r="BF77" i="5"/>
  <c r="BF78" i="5"/>
  <c r="BF79" i="5"/>
  <c r="BF80" i="5"/>
  <c r="BF81" i="5"/>
  <c r="BF63" i="5"/>
  <c r="BF64" i="5"/>
  <c r="BF65" i="5"/>
  <c r="BF66" i="5"/>
  <c r="BF67" i="5"/>
  <c r="BF68" i="5"/>
  <c r="BF58" i="5"/>
  <c r="BF59" i="5"/>
  <c r="BF61" i="5"/>
  <c r="BG57" i="5"/>
  <c r="BI57" i="5" s="1"/>
  <c r="BG60" i="5"/>
  <c r="BI60" i="5" s="1"/>
  <c r="BF49" i="5"/>
  <c r="BF52" i="5"/>
  <c r="BF53" i="5"/>
  <c r="BF54" i="5"/>
  <c r="BF55" i="5"/>
  <c r="BG48" i="5"/>
  <c r="BI48" i="5" s="1"/>
  <c r="BG51" i="5"/>
  <c r="BI51" i="5" s="1"/>
  <c r="BF50" i="5"/>
  <c r="BF36" i="5"/>
  <c r="BF37" i="5"/>
  <c r="BF38" i="5"/>
  <c r="BF31" i="5"/>
  <c r="BF28" i="5"/>
  <c r="BF29" i="5"/>
  <c r="BF30" i="5"/>
  <c r="BF24" i="5"/>
  <c r="BF25" i="5"/>
  <c r="BF26" i="5"/>
  <c r="BF19" i="5"/>
  <c r="BF20" i="5"/>
  <c r="BF21" i="5"/>
  <c r="BF13" i="5"/>
  <c r="BF14" i="5"/>
  <c r="BF15" i="5"/>
  <c r="BF16" i="5"/>
  <c r="BF17" i="5"/>
  <c r="BG9" i="5"/>
  <c r="BI9" i="5" s="1"/>
  <c r="BG8" i="5"/>
  <c r="BI8" i="5" s="1"/>
  <c r="P17" i="6" l="1"/>
  <c r="O17" i="6" s="1"/>
  <c r="AB132" i="3"/>
  <c r="T17" i="6" l="1"/>
  <c r="S17" i="6" s="1"/>
  <c r="A7" i="5"/>
  <c r="B7" i="5"/>
  <c r="C7" i="5"/>
  <c r="D7" i="5"/>
  <c r="E7" i="5"/>
  <c r="F7" i="5"/>
  <c r="A8" i="5"/>
  <c r="B8" i="5"/>
  <c r="C8" i="5"/>
  <c r="D8" i="5"/>
  <c r="E8" i="5"/>
  <c r="F8" i="5"/>
  <c r="A9" i="5"/>
  <c r="B9" i="5"/>
  <c r="C9" i="5"/>
  <c r="D9" i="5"/>
  <c r="E9" i="5"/>
  <c r="F9" i="5"/>
  <c r="A10" i="5"/>
  <c r="L10" i="5" s="1"/>
  <c r="D10" i="5"/>
  <c r="A11" i="5"/>
  <c r="L11" i="5" s="1"/>
  <c r="D11" i="5"/>
  <c r="A12" i="5"/>
  <c r="L12" i="5" s="1"/>
  <c r="D12" i="5"/>
  <c r="A13" i="5"/>
  <c r="B13" i="5"/>
  <c r="C13" i="5"/>
  <c r="D13" i="5"/>
  <c r="E13" i="5"/>
  <c r="F13" i="5"/>
  <c r="A14" i="5"/>
  <c r="B14" i="5"/>
  <c r="C14" i="5"/>
  <c r="D14" i="5"/>
  <c r="E14" i="5"/>
  <c r="F14" i="5"/>
  <c r="A15" i="5"/>
  <c r="B15" i="5"/>
  <c r="C15" i="5"/>
  <c r="D15" i="5"/>
  <c r="E15" i="5"/>
  <c r="F15" i="5"/>
  <c r="A16" i="5"/>
  <c r="B16" i="5"/>
  <c r="C16" i="5"/>
  <c r="D16" i="5"/>
  <c r="E16" i="5"/>
  <c r="F16" i="5"/>
  <c r="A17" i="5"/>
  <c r="B17" i="5"/>
  <c r="C17" i="5"/>
  <c r="D17" i="5"/>
  <c r="E17" i="5"/>
  <c r="F17" i="5"/>
  <c r="A18" i="5"/>
  <c r="L18" i="5" s="1"/>
  <c r="D18" i="5"/>
  <c r="A19" i="5"/>
  <c r="B19" i="5"/>
  <c r="C19" i="5"/>
  <c r="D19" i="5"/>
  <c r="E19" i="5"/>
  <c r="F19" i="5"/>
  <c r="A20" i="5"/>
  <c r="B20" i="5"/>
  <c r="C20" i="5"/>
  <c r="D20" i="5"/>
  <c r="E20" i="5"/>
  <c r="F20" i="5"/>
  <c r="A21" i="5"/>
  <c r="B21" i="5"/>
  <c r="C21" i="5"/>
  <c r="D21" i="5"/>
  <c r="E21" i="5"/>
  <c r="F21" i="5"/>
  <c r="A22" i="5"/>
  <c r="B22" i="5"/>
  <c r="C22" i="5"/>
  <c r="D22" i="5"/>
  <c r="E22" i="5"/>
  <c r="F22" i="5"/>
  <c r="A23" i="5"/>
  <c r="L23" i="5" s="1"/>
  <c r="D23" i="5"/>
  <c r="A24" i="5"/>
  <c r="B24" i="5"/>
  <c r="C24" i="5"/>
  <c r="D24" i="5"/>
  <c r="E24" i="5"/>
  <c r="F24" i="5"/>
  <c r="A25" i="5"/>
  <c r="B25" i="5"/>
  <c r="C25" i="5"/>
  <c r="D25" i="5"/>
  <c r="E25" i="5"/>
  <c r="F25" i="5"/>
  <c r="A26" i="5"/>
  <c r="B26" i="5"/>
  <c r="C26" i="5"/>
  <c r="D26" i="5"/>
  <c r="E26" i="5"/>
  <c r="F26" i="5"/>
  <c r="A27" i="5"/>
  <c r="L27" i="5" s="1"/>
  <c r="D27" i="5"/>
  <c r="A28" i="5"/>
  <c r="B28" i="5"/>
  <c r="C28" i="5"/>
  <c r="D28" i="5"/>
  <c r="E28" i="5"/>
  <c r="F28" i="5"/>
  <c r="A29" i="5"/>
  <c r="B29" i="5"/>
  <c r="C29" i="5"/>
  <c r="D29" i="5"/>
  <c r="E29" i="5"/>
  <c r="F29" i="5"/>
  <c r="A30" i="5"/>
  <c r="B30" i="5"/>
  <c r="C30" i="5"/>
  <c r="D30" i="5"/>
  <c r="E30" i="5"/>
  <c r="F30" i="5"/>
  <c r="A31" i="5"/>
  <c r="B31" i="5"/>
  <c r="C31" i="5"/>
  <c r="D31" i="5"/>
  <c r="E31" i="5"/>
  <c r="F31" i="5"/>
  <c r="A32" i="5"/>
  <c r="L32" i="5" s="1"/>
  <c r="D32" i="5"/>
  <c r="A33" i="5"/>
  <c r="L33" i="5" s="1"/>
  <c r="D33" i="5"/>
  <c r="A34" i="5"/>
  <c r="B34" i="5"/>
  <c r="C34" i="5"/>
  <c r="D34" i="5"/>
  <c r="E34" i="5"/>
  <c r="F34" i="5"/>
  <c r="A35" i="5"/>
  <c r="L35" i="5" s="1"/>
  <c r="D35" i="5"/>
  <c r="A36" i="5"/>
  <c r="B36" i="5"/>
  <c r="C36" i="5"/>
  <c r="D36" i="5"/>
  <c r="E36" i="5"/>
  <c r="F36" i="5"/>
  <c r="A37" i="5"/>
  <c r="B37" i="5"/>
  <c r="C37" i="5"/>
  <c r="D37" i="5"/>
  <c r="E37" i="5"/>
  <c r="F37" i="5"/>
  <c r="A38" i="5"/>
  <c r="B38" i="5"/>
  <c r="C38" i="5"/>
  <c r="D38" i="5"/>
  <c r="E38" i="5"/>
  <c r="F38" i="5"/>
  <c r="A39" i="5"/>
  <c r="L39" i="5" s="1"/>
  <c r="D39" i="5"/>
  <c r="A40" i="5"/>
  <c r="B40" i="5"/>
  <c r="C40" i="5"/>
  <c r="D40" i="5"/>
  <c r="E40" i="5"/>
  <c r="F40" i="5"/>
  <c r="A41" i="5"/>
  <c r="L41" i="5" s="1"/>
  <c r="D41" i="5"/>
  <c r="A42" i="5"/>
  <c r="B42" i="5"/>
  <c r="C42" i="5"/>
  <c r="D42" i="5"/>
  <c r="E42" i="5"/>
  <c r="F42" i="5"/>
  <c r="A43" i="5"/>
  <c r="B43" i="5"/>
  <c r="C43" i="5"/>
  <c r="D43" i="5"/>
  <c r="E43" i="5"/>
  <c r="F43" i="5"/>
  <c r="A44" i="5"/>
  <c r="B44" i="5"/>
  <c r="C44" i="5"/>
  <c r="D44" i="5"/>
  <c r="E44" i="5"/>
  <c r="F44" i="5"/>
  <c r="A45" i="5"/>
  <c r="L45" i="5" s="1"/>
  <c r="D45" i="5"/>
  <c r="A46" i="5"/>
  <c r="L46" i="5" s="1"/>
  <c r="D46" i="5"/>
  <c r="A47" i="5"/>
  <c r="L47" i="5" s="1"/>
  <c r="D47" i="5"/>
  <c r="A48" i="5"/>
  <c r="B48" i="5"/>
  <c r="C48" i="5"/>
  <c r="D48" i="5"/>
  <c r="E48" i="5"/>
  <c r="F48" i="5"/>
  <c r="A49" i="5"/>
  <c r="B49" i="5"/>
  <c r="C49" i="5"/>
  <c r="D49" i="5"/>
  <c r="E49" i="5"/>
  <c r="F49" i="5"/>
  <c r="A50" i="5"/>
  <c r="B50" i="5"/>
  <c r="C50" i="5"/>
  <c r="D50" i="5"/>
  <c r="E50" i="5"/>
  <c r="F50" i="5"/>
  <c r="A51" i="5"/>
  <c r="B51" i="5"/>
  <c r="C51" i="5"/>
  <c r="D51" i="5"/>
  <c r="E51" i="5"/>
  <c r="F51" i="5"/>
  <c r="A52" i="5"/>
  <c r="B52" i="5"/>
  <c r="C52" i="5"/>
  <c r="D52" i="5"/>
  <c r="E52" i="5"/>
  <c r="F52" i="5"/>
  <c r="A53" i="5"/>
  <c r="B53" i="5"/>
  <c r="C53" i="5"/>
  <c r="D53" i="5"/>
  <c r="E53" i="5"/>
  <c r="F53" i="5"/>
  <c r="A54" i="5"/>
  <c r="B54" i="5"/>
  <c r="C54" i="5"/>
  <c r="D54" i="5"/>
  <c r="E54" i="5"/>
  <c r="F54" i="5"/>
  <c r="A55" i="5"/>
  <c r="B55" i="5"/>
  <c r="C55" i="5"/>
  <c r="D55" i="5"/>
  <c r="E55" i="5"/>
  <c r="F55" i="5"/>
  <c r="A56" i="5"/>
  <c r="L56" i="5" s="1"/>
  <c r="D56" i="5"/>
  <c r="A57" i="5"/>
  <c r="B57" i="5"/>
  <c r="C57" i="5"/>
  <c r="D57" i="5"/>
  <c r="E57" i="5"/>
  <c r="F57" i="5"/>
  <c r="A58" i="5"/>
  <c r="B58" i="5"/>
  <c r="C58" i="5"/>
  <c r="D58" i="5"/>
  <c r="E58" i="5"/>
  <c r="F58" i="5"/>
  <c r="A59" i="5"/>
  <c r="B59" i="5"/>
  <c r="C59" i="5"/>
  <c r="D59" i="5"/>
  <c r="E59" i="5"/>
  <c r="F59" i="5"/>
  <c r="A60" i="5"/>
  <c r="B60" i="5"/>
  <c r="C60" i="5"/>
  <c r="D60" i="5"/>
  <c r="E60" i="5"/>
  <c r="F60" i="5"/>
  <c r="A61" i="5"/>
  <c r="B61" i="5"/>
  <c r="C61" i="5"/>
  <c r="D61" i="5"/>
  <c r="E61" i="5"/>
  <c r="F61" i="5"/>
  <c r="A62" i="5"/>
  <c r="L62" i="5" s="1"/>
  <c r="D62" i="5"/>
  <c r="A63" i="5"/>
  <c r="B63" i="5"/>
  <c r="C63" i="5"/>
  <c r="D63" i="5"/>
  <c r="E63" i="5"/>
  <c r="F63" i="5"/>
  <c r="A64" i="5"/>
  <c r="B64" i="5"/>
  <c r="C64" i="5"/>
  <c r="D64" i="5"/>
  <c r="E64" i="5"/>
  <c r="F64" i="5"/>
  <c r="A65" i="5"/>
  <c r="B65" i="5"/>
  <c r="C65" i="5"/>
  <c r="D65" i="5"/>
  <c r="E65" i="5"/>
  <c r="F65" i="5"/>
  <c r="A66" i="5"/>
  <c r="B66" i="5"/>
  <c r="C66" i="5"/>
  <c r="D66" i="5"/>
  <c r="E66" i="5"/>
  <c r="F66" i="5"/>
  <c r="A67" i="5"/>
  <c r="B67" i="5"/>
  <c r="C67" i="5"/>
  <c r="D67" i="5"/>
  <c r="E67" i="5"/>
  <c r="F67" i="5"/>
  <c r="A68" i="5"/>
  <c r="B68" i="5"/>
  <c r="C68" i="5"/>
  <c r="D68" i="5"/>
  <c r="E68" i="5"/>
  <c r="F68" i="5"/>
  <c r="A69" i="5"/>
  <c r="L69" i="5" s="1"/>
  <c r="D69" i="5"/>
  <c r="A70" i="5"/>
  <c r="B70" i="5"/>
  <c r="C70" i="5"/>
  <c r="D70" i="5"/>
  <c r="E70" i="5"/>
  <c r="F70" i="5"/>
  <c r="A71" i="5"/>
  <c r="B71" i="5"/>
  <c r="C71" i="5"/>
  <c r="D71" i="5"/>
  <c r="E71" i="5"/>
  <c r="F71" i="5"/>
  <c r="A72" i="5"/>
  <c r="B72" i="5"/>
  <c r="C72" i="5"/>
  <c r="D72" i="5"/>
  <c r="E72" i="5"/>
  <c r="F72" i="5"/>
  <c r="A73" i="5"/>
  <c r="B73" i="5"/>
  <c r="C73" i="5"/>
  <c r="D73" i="5"/>
  <c r="E73" i="5"/>
  <c r="F73" i="5"/>
  <c r="A74" i="5"/>
  <c r="B74" i="5"/>
  <c r="C74" i="5"/>
  <c r="D74" i="5"/>
  <c r="E74" i="5"/>
  <c r="F74" i="5"/>
  <c r="A75" i="5"/>
  <c r="B75" i="5"/>
  <c r="C75" i="5"/>
  <c r="D75" i="5"/>
  <c r="E75" i="5"/>
  <c r="F75" i="5"/>
  <c r="A76" i="5"/>
  <c r="B76" i="5"/>
  <c r="C76" i="5"/>
  <c r="D76" i="5"/>
  <c r="E76" i="5"/>
  <c r="F76" i="5"/>
  <c r="A77" i="5"/>
  <c r="B77" i="5"/>
  <c r="C77" i="5"/>
  <c r="D77" i="5"/>
  <c r="E77" i="5"/>
  <c r="F77" i="5"/>
  <c r="A78" i="5"/>
  <c r="B78" i="5"/>
  <c r="C78" i="5"/>
  <c r="D78" i="5"/>
  <c r="E78" i="5"/>
  <c r="F78" i="5"/>
  <c r="A79" i="5"/>
  <c r="B79" i="5"/>
  <c r="C79" i="5"/>
  <c r="D79" i="5"/>
  <c r="E79" i="5"/>
  <c r="F79" i="5"/>
  <c r="A80" i="5"/>
  <c r="B80" i="5"/>
  <c r="C80" i="5"/>
  <c r="D80" i="5"/>
  <c r="E80" i="5"/>
  <c r="F80" i="5"/>
  <c r="A81" i="5"/>
  <c r="B81" i="5"/>
  <c r="C81" i="5"/>
  <c r="D81" i="5"/>
  <c r="E81" i="5"/>
  <c r="F81" i="5"/>
  <c r="A82" i="5"/>
  <c r="L82" i="5" s="1"/>
  <c r="D82" i="5"/>
  <c r="A83" i="5"/>
  <c r="L83" i="5" s="1"/>
  <c r="D83" i="5"/>
  <c r="A84" i="5"/>
  <c r="B84" i="5"/>
  <c r="C84" i="5"/>
  <c r="D84" i="5"/>
  <c r="E84" i="5"/>
  <c r="F84" i="5"/>
  <c r="A85" i="5"/>
  <c r="B85" i="5"/>
  <c r="C85" i="5"/>
  <c r="D85" i="5"/>
  <c r="E85" i="5"/>
  <c r="F85" i="5"/>
  <c r="A86" i="5"/>
  <c r="B86" i="5"/>
  <c r="C86" i="5"/>
  <c r="D86" i="5"/>
  <c r="E86" i="5"/>
  <c r="F86" i="5"/>
  <c r="A87" i="5"/>
  <c r="B87" i="5"/>
  <c r="C87" i="5"/>
  <c r="D87" i="5"/>
  <c r="E87" i="5"/>
  <c r="F87" i="5"/>
  <c r="A88" i="5"/>
  <c r="B88" i="5"/>
  <c r="C88" i="5"/>
  <c r="D88" i="5"/>
  <c r="E88" i="5"/>
  <c r="F88" i="5"/>
  <c r="A89" i="5"/>
  <c r="L89" i="5" s="1"/>
  <c r="D89" i="5"/>
  <c r="A90" i="5"/>
  <c r="B90" i="5"/>
  <c r="C90" i="5"/>
  <c r="D90" i="5"/>
  <c r="E90" i="5"/>
  <c r="F90" i="5"/>
  <c r="A91" i="5"/>
  <c r="B91" i="5"/>
  <c r="C91" i="5"/>
  <c r="D91" i="5"/>
  <c r="E91" i="5"/>
  <c r="F91" i="5"/>
  <c r="A92" i="5"/>
  <c r="B92" i="5"/>
  <c r="C92" i="5"/>
  <c r="D92" i="5"/>
  <c r="E92" i="5"/>
  <c r="F92" i="5"/>
  <c r="A93" i="5"/>
  <c r="B93" i="5"/>
  <c r="C93" i="5"/>
  <c r="D93" i="5"/>
  <c r="E93" i="5"/>
  <c r="F93" i="5"/>
  <c r="A94" i="5"/>
  <c r="L94" i="5" s="1"/>
  <c r="D94" i="5"/>
  <c r="A95" i="5"/>
  <c r="B95" i="5"/>
  <c r="C95" i="5"/>
  <c r="D95" i="5"/>
  <c r="E95" i="5"/>
  <c r="F95" i="5"/>
  <c r="A96" i="5"/>
  <c r="L96" i="5" s="1"/>
  <c r="D96" i="5"/>
  <c r="A97" i="5"/>
  <c r="B97" i="5"/>
  <c r="C97" i="5"/>
  <c r="D97" i="5"/>
  <c r="E97" i="5"/>
  <c r="F97" i="5"/>
  <c r="A98" i="5"/>
  <c r="B98" i="5"/>
  <c r="C98" i="5"/>
  <c r="D98" i="5"/>
  <c r="E98" i="5"/>
  <c r="F98" i="5"/>
  <c r="A99" i="5"/>
  <c r="B99" i="5"/>
  <c r="C99" i="5"/>
  <c r="D99" i="5"/>
  <c r="E99" i="5"/>
  <c r="F99" i="5"/>
  <c r="A100" i="5"/>
  <c r="B100" i="5"/>
  <c r="C100" i="5"/>
  <c r="D100" i="5"/>
  <c r="E100" i="5"/>
  <c r="F100" i="5"/>
  <c r="A101" i="5"/>
  <c r="B101" i="5"/>
  <c r="C101" i="5"/>
  <c r="D101" i="5"/>
  <c r="E101" i="5"/>
  <c r="F101" i="5"/>
  <c r="A102" i="5"/>
  <c r="B102" i="5"/>
  <c r="C102" i="5"/>
  <c r="D102" i="5"/>
  <c r="E102" i="5"/>
  <c r="F102" i="5"/>
  <c r="A103" i="5"/>
  <c r="B103" i="5"/>
  <c r="C103" i="5"/>
  <c r="D103" i="5"/>
  <c r="E103" i="5"/>
  <c r="F103" i="5"/>
  <c r="A104" i="5"/>
  <c r="B104" i="5"/>
  <c r="C104" i="5"/>
  <c r="D104" i="5"/>
  <c r="E104" i="5"/>
  <c r="F104" i="5"/>
  <c r="A105" i="5"/>
  <c r="B105" i="5"/>
  <c r="C105" i="5"/>
  <c r="D105" i="5"/>
  <c r="E105" i="5"/>
  <c r="F105" i="5"/>
  <c r="A106" i="5"/>
  <c r="B106" i="5"/>
  <c r="C106" i="5"/>
  <c r="D106" i="5"/>
  <c r="E106" i="5"/>
  <c r="F106" i="5"/>
  <c r="A107" i="5"/>
  <c r="B107" i="5"/>
  <c r="C107" i="5"/>
  <c r="D107" i="5"/>
  <c r="E107" i="5"/>
  <c r="F107" i="5"/>
  <c r="A108" i="5"/>
  <c r="B108" i="5"/>
  <c r="C108" i="5"/>
  <c r="D108" i="5"/>
  <c r="E108" i="5"/>
  <c r="F108" i="5"/>
  <c r="A109" i="5"/>
  <c r="B109" i="5"/>
  <c r="C109" i="5"/>
  <c r="D109" i="5"/>
  <c r="E109" i="5"/>
  <c r="F109" i="5"/>
  <c r="A110" i="5"/>
  <c r="B110" i="5"/>
  <c r="C110" i="5"/>
  <c r="D110" i="5"/>
  <c r="E110" i="5"/>
  <c r="F110" i="5"/>
  <c r="A111" i="5"/>
  <c r="B111" i="5"/>
  <c r="C111" i="5"/>
  <c r="D111" i="5"/>
  <c r="E111" i="5"/>
  <c r="F111" i="5"/>
  <c r="A112" i="5"/>
  <c r="B112" i="5"/>
  <c r="C112" i="5"/>
  <c r="D112" i="5"/>
  <c r="E112" i="5"/>
  <c r="F112" i="5"/>
  <c r="A113" i="5"/>
  <c r="L113" i="5" s="1"/>
  <c r="D113" i="5"/>
  <c r="A114" i="5"/>
  <c r="B114" i="5"/>
  <c r="C114" i="5"/>
  <c r="D114" i="5"/>
  <c r="E114" i="5"/>
  <c r="F114" i="5"/>
  <c r="A115" i="5"/>
  <c r="B115" i="5"/>
  <c r="C115" i="5"/>
  <c r="D115" i="5"/>
  <c r="E115" i="5"/>
  <c r="F115" i="5"/>
  <c r="A116" i="5"/>
  <c r="B116" i="5"/>
  <c r="C116" i="5"/>
  <c r="D116" i="5"/>
  <c r="E116" i="5"/>
  <c r="F116" i="5"/>
  <c r="A117" i="5"/>
  <c r="B117" i="5"/>
  <c r="C117" i="5"/>
  <c r="D117" i="5"/>
  <c r="E117" i="5"/>
  <c r="F117" i="5"/>
  <c r="A118" i="5"/>
  <c r="B118" i="5"/>
  <c r="C118" i="5"/>
  <c r="D118" i="5"/>
  <c r="E118" i="5"/>
  <c r="F118" i="5"/>
  <c r="A119" i="5"/>
  <c r="L119" i="5" s="1"/>
  <c r="D119" i="5"/>
  <c r="A120" i="5"/>
  <c r="B120" i="5"/>
  <c r="C120" i="5"/>
  <c r="D120" i="5"/>
  <c r="E120" i="5"/>
  <c r="F120" i="5"/>
  <c r="A121" i="5"/>
  <c r="B121" i="5"/>
  <c r="C121" i="5"/>
  <c r="D121" i="5"/>
  <c r="E121" i="5"/>
  <c r="F121" i="5"/>
  <c r="A122" i="5"/>
  <c r="L122" i="5" s="1"/>
  <c r="D122" i="5"/>
  <c r="A123" i="5"/>
  <c r="B123" i="5"/>
  <c r="C123" i="5"/>
  <c r="D123" i="5"/>
  <c r="E123" i="5"/>
  <c r="F123" i="5"/>
  <c r="A124" i="5"/>
  <c r="B124" i="5"/>
  <c r="C124" i="5"/>
  <c r="D124" i="5"/>
  <c r="E124" i="5"/>
  <c r="F124" i="5"/>
  <c r="A125" i="5"/>
  <c r="B125" i="5"/>
  <c r="C125" i="5"/>
  <c r="D125" i="5"/>
  <c r="E125" i="5"/>
  <c r="F125" i="5"/>
  <c r="D6" i="5"/>
  <c r="A6" i="5"/>
  <c r="L6" i="5" s="1"/>
  <c r="R1" i="5"/>
  <c r="P125" i="3"/>
  <c r="P124" i="3"/>
  <c r="P123" i="3"/>
  <c r="P121" i="3"/>
  <c r="P120" i="3"/>
  <c r="P118" i="3"/>
  <c r="P117" i="3"/>
  <c r="P116" i="3"/>
  <c r="P115" i="3"/>
  <c r="P114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5" i="3"/>
  <c r="P93" i="3"/>
  <c r="P92" i="3"/>
  <c r="P91" i="3"/>
  <c r="P90" i="3"/>
  <c r="P88" i="3"/>
  <c r="P87" i="3"/>
  <c r="P86" i="3"/>
  <c r="P85" i="3"/>
  <c r="P84" i="3"/>
  <c r="P81" i="3"/>
  <c r="P80" i="3"/>
  <c r="P79" i="3"/>
  <c r="P78" i="3"/>
  <c r="P77" i="3"/>
  <c r="P76" i="3"/>
  <c r="P75" i="3"/>
  <c r="P74" i="3"/>
  <c r="P73" i="3"/>
  <c r="P72" i="3"/>
  <c r="P71" i="3"/>
  <c r="P70" i="3"/>
  <c r="P68" i="3"/>
  <c r="P67" i="3"/>
  <c r="P66" i="3"/>
  <c r="P65" i="3"/>
  <c r="P64" i="3"/>
  <c r="P63" i="3"/>
  <c r="P61" i="3"/>
  <c r="P60" i="3"/>
  <c r="P59" i="3"/>
  <c r="P58" i="3"/>
  <c r="P57" i="3"/>
  <c r="P55" i="3"/>
  <c r="P54" i="3"/>
  <c r="P53" i="3"/>
  <c r="P52" i="3"/>
  <c r="P51" i="3"/>
  <c r="P50" i="3"/>
  <c r="P49" i="3"/>
  <c r="P48" i="3"/>
  <c r="P44" i="3"/>
  <c r="P43" i="3"/>
  <c r="P42" i="3"/>
  <c r="P40" i="3"/>
  <c r="P38" i="3"/>
  <c r="P37" i="3"/>
  <c r="P36" i="3"/>
  <c r="P34" i="3"/>
  <c r="P31" i="3"/>
  <c r="P30" i="3"/>
  <c r="P29" i="3"/>
  <c r="P28" i="3"/>
  <c r="P26" i="3"/>
  <c r="P25" i="3"/>
  <c r="P24" i="3"/>
  <c r="P22" i="3"/>
  <c r="P21" i="3"/>
  <c r="P20" i="3"/>
  <c r="P19" i="3"/>
  <c r="P17" i="3"/>
  <c r="P16" i="3"/>
  <c r="P15" i="3"/>
  <c r="P14" i="3"/>
  <c r="P13" i="3"/>
  <c r="P9" i="3"/>
  <c r="P8" i="3"/>
  <c r="P7" i="3"/>
  <c r="P125" i="2"/>
  <c r="P124" i="2"/>
  <c r="P123" i="2"/>
  <c r="P121" i="2"/>
  <c r="P120" i="2"/>
  <c r="P118" i="2"/>
  <c r="P117" i="2"/>
  <c r="P116" i="2"/>
  <c r="P115" i="2"/>
  <c r="P114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5" i="2"/>
  <c r="P93" i="2"/>
  <c r="P92" i="2"/>
  <c r="P91" i="2"/>
  <c r="P90" i="2"/>
  <c r="P88" i="2"/>
  <c r="P87" i="2"/>
  <c r="P86" i="2"/>
  <c r="P85" i="2"/>
  <c r="P84" i="2"/>
  <c r="P81" i="2"/>
  <c r="P80" i="2"/>
  <c r="P79" i="2"/>
  <c r="P78" i="2"/>
  <c r="P77" i="2"/>
  <c r="P76" i="2"/>
  <c r="P75" i="2"/>
  <c r="P74" i="2"/>
  <c r="P73" i="2"/>
  <c r="P72" i="2"/>
  <c r="P71" i="2"/>
  <c r="P70" i="2"/>
  <c r="P68" i="2"/>
  <c r="P67" i="2"/>
  <c r="P66" i="2"/>
  <c r="P65" i="2"/>
  <c r="P64" i="2"/>
  <c r="P63" i="2"/>
  <c r="P61" i="2"/>
  <c r="P60" i="2"/>
  <c r="P59" i="2"/>
  <c r="P58" i="2"/>
  <c r="P57" i="2"/>
  <c r="P55" i="2"/>
  <c r="P54" i="2"/>
  <c r="P53" i="2"/>
  <c r="P52" i="2"/>
  <c r="P51" i="2"/>
  <c r="P50" i="2"/>
  <c r="P49" i="2"/>
  <c r="P48" i="2"/>
  <c r="P44" i="2"/>
  <c r="P43" i="2"/>
  <c r="P42" i="2"/>
  <c r="P40" i="2"/>
  <c r="P38" i="2"/>
  <c r="P37" i="2"/>
  <c r="P36" i="2"/>
  <c r="P34" i="2"/>
  <c r="P31" i="2"/>
  <c r="P30" i="2"/>
  <c r="P29" i="2"/>
  <c r="P28" i="2"/>
  <c r="P26" i="2"/>
  <c r="P25" i="2"/>
  <c r="P24" i="2"/>
  <c r="P22" i="2"/>
  <c r="P21" i="2"/>
  <c r="P20" i="2"/>
  <c r="P19" i="2"/>
  <c r="P17" i="2"/>
  <c r="P16" i="2"/>
  <c r="P15" i="2"/>
  <c r="P14" i="2"/>
  <c r="P13" i="2"/>
  <c r="P9" i="2"/>
  <c r="P8" i="2"/>
  <c r="P7" i="2"/>
  <c r="X17" i="6" l="1"/>
  <c r="W17" i="6" s="1"/>
  <c r="N8" i="5"/>
  <c r="AP8" i="5"/>
  <c r="AI8" i="5"/>
  <c r="AB8" i="5"/>
  <c r="U8" i="5"/>
  <c r="N7" i="5"/>
  <c r="AP7" i="5"/>
  <c r="AI7" i="5"/>
  <c r="U7" i="5"/>
  <c r="AB7" i="5"/>
  <c r="K128" i="5"/>
  <c r="K118" i="5"/>
  <c r="G118" i="5"/>
  <c r="L118" i="5"/>
  <c r="H118" i="5"/>
  <c r="I118" i="5"/>
  <c r="J118" i="5"/>
  <c r="K93" i="5"/>
  <c r="I93" i="5"/>
  <c r="J93" i="5"/>
  <c r="G93" i="5"/>
  <c r="H93" i="5"/>
  <c r="L93" i="5"/>
  <c r="K92" i="5"/>
  <c r="I92" i="5"/>
  <c r="L92" i="5"/>
  <c r="G92" i="5"/>
  <c r="H92" i="5"/>
  <c r="J92" i="5"/>
  <c r="K90" i="5"/>
  <c r="L90" i="5"/>
  <c r="I90" i="5"/>
  <c r="G90" i="5"/>
  <c r="H90" i="5"/>
  <c r="J90" i="5"/>
  <c r="H81" i="5"/>
  <c r="I81" i="5"/>
  <c r="J81" i="5"/>
  <c r="K81" i="5"/>
  <c r="L81" i="5"/>
  <c r="G81" i="5"/>
  <c r="H80" i="5"/>
  <c r="I80" i="5"/>
  <c r="J80" i="5"/>
  <c r="K80" i="5"/>
  <c r="L80" i="5"/>
  <c r="G80" i="5"/>
  <c r="H79" i="5"/>
  <c r="I79" i="5"/>
  <c r="J79" i="5"/>
  <c r="K79" i="5"/>
  <c r="L79" i="5"/>
  <c r="G79" i="5"/>
  <c r="H78" i="5"/>
  <c r="I78" i="5"/>
  <c r="J78" i="5"/>
  <c r="K78" i="5"/>
  <c r="L78" i="5"/>
  <c r="G78" i="5"/>
  <c r="H77" i="5"/>
  <c r="I77" i="5"/>
  <c r="J77" i="5"/>
  <c r="K77" i="5"/>
  <c r="L77" i="5"/>
  <c r="G77" i="5"/>
  <c r="H76" i="5"/>
  <c r="I76" i="5"/>
  <c r="J76" i="5"/>
  <c r="K76" i="5"/>
  <c r="L76" i="5"/>
  <c r="G76" i="5"/>
  <c r="H75" i="5"/>
  <c r="I75" i="5"/>
  <c r="J75" i="5"/>
  <c r="K75" i="5"/>
  <c r="L75" i="5"/>
  <c r="G75" i="5"/>
  <c r="H74" i="5"/>
  <c r="I74" i="5"/>
  <c r="J74" i="5"/>
  <c r="K74" i="5"/>
  <c r="L74" i="5"/>
  <c r="G74" i="5"/>
  <c r="H73" i="5"/>
  <c r="I73" i="5"/>
  <c r="J73" i="5"/>
  <c r="K73" i="5"/>
  <c r="L73" i="5"/>
  <c r="G73" i="5"/>
  <c r="H72" i="5"/>
  <c r="I72" i="5"/>
  <c r="J72" i="5"/>
  <c r="K72" i="5"/>
  <c r="L72" i="5"/>
  <c r="G72" i="5"/>
  <c r="H71" i="5"/>
  <c r="I71" i="5"/>
  <c r="J71" i="5"/>
  <c r="K71" i="5"/>
  <c r="L71" i="5"/>
  <c r="G71" i="5"/>
  <c r="H70" i="5"/>
  <c r="I70" i="5"/>
  <c r="J70" i="5"/>
  <c r="K70" i="5"/>
  <c r="L70" i="5"/>
  <c r="G70" i="5"/>
  <c r="K55" i="5"/>
  <c r="L55" i="5"/>
  <c r="G55" i="5"/>
  <c r="H55" i="5"/>
  <c r="I55" i="5"/>
  <c r="J55" i="5"/>
  <c r="K54" i="5"/>
  <c r="L54" i="5"/>
  <c r="G54" i="5"/>
  <c r="H54" i="5"/>
  <c r="I54" i="5"/>
  <c r="J54" i="5"/>
  <c r="K53" i="5"/>
  <c r="L53" i="5"/>
  <c r="G53" i="5"/>
  <c r="H53" i="5"/>
  <c r="I53" i="5"/>
  <c r="J53" i="5"/>
  <c r="K52" i="5"/>
  <c r="L52" i="5"/>
  <c r="G52" i="5"/>
  <c r="H52" i="5"/>
  <c r="I52" i="5"/>
  <c r="J52" i="5"/>
  <c r="K51" i="5"/>
  <c r="L51" i="5"/>
  <c r="G51" i="5"/>
  <c r="H51" i="5"/>
  <c r="I51" i="5"/>
  <c r="J51" i="5"/>
  <c r="K50" i="5"/>
  <c r="L50" i="5"/>
  <c r="G50" i="5"/>
  <c r="H50" i="5"/>
  <c r="I50" i="5"/>
  <c r="J50" i="5"/>
  <c r="K49" i="5"/>
  <c r="L49" i="5"/>
  <c r="G49" i="5"/>
  <c r="H49" i="5"/>
  <c r="I49" i="5"/>
  <c r="J49" i="5"/>
  <c r="K48" i="5"/>
  <c r="L48" i="5"/>
  <c r="G48" i="5"/>
  <c r="H48" i="5"/>
  <c r="I48" i="5"/>
  <c r="J48" i="5"/>
  <c r="H44" i="5"/>
  <c r="I44" i="5"/>
  <c r="J44" i="5"/>
  <c r="K44" i="5"/>
  <c r="L44" i="5"/>
  <c r="G44" i="5"/>
  <c r="H43" i="5"/>
  <c r="I43" i="5"/>
  <c r="J43" i="5"/>
  <c r="K43" i="5"/>
  <c r="L43" i="5"/>
  <c r="G43" i="5"/>
  <c r="H42" i="5"/>
  <c r="I42" i="5"/>
  <c r="J42" i="5"/>
  <c r="K42" i="5"/>
  <c r="L42" i="5"/>
  <c r="G42" i="5"/>
  <c r="K34" i="5"/>
  <c r="L34" i="5"/>
  <c r="G34" i="5"/>
  <c r="H34" i="5"/>
  <c r="I34" i="5"/>
  <c r="J34" i="5"/>
  <c r="H26" i="5"/>
  <c r="I26" i="5"/>
  <c r="J26" i="5"/>
  <c r="K26" i="5"/>
  <c r="L26" i="5"/>
  <c r="G26" i="5"/>
  <c r="H25" i="5"/>
  <c r="I25" i="5"/>
  <c r="J25" i="5"/>
  <c r="K25" i="5"/>
  <c r="L25" i="5"/>
  <c r="G25" i="5"/>
  <c r="H24" i="5"/>
  <c r="I24" i="5"/>
  <c r="J24" i="5"/>
  <c r="K24" i="5"/>
  <c r="L24" i="5"/>
  <c r="G24" i="5"/>
  <c r="K117" i="5"/>
  <c r="L117" i="5"/>
  <c r="G117" i="5"/>
  <c r="H117" i="5"/>
  <c r="I117" i="5"/>
  <c r="J117" i="5"/>
  <c r="K116" i="5"/>
  <c r="L116" i="5"/>
  <c r="H116" i="5"/>
  <c r="G116" i="5"/>
  <c r="I116" i="5"/>
  <c r="J116" i="5"/>
  <c r="K115" i="5"/>
  <c r="G115" i="5"/>
  <c r="H115" i="5"/>
  <c r="L115" i="5"/>
  <c r="I115" i="5"/>
  <c r="J115" i="5"/>
  <c r="K114" i="5"/>
  <c r="L114" i="5"/>
  <c r="G114" i="5"/>
  <c r="H114" i="5"/>
  <c r="I114" i="5"/>
  <c r="J114" i="5"/>
  <c r="K91" i="5"/>
  <c r="L91" i="5"/>
  <c r="I91" i="5"/>
  <c r="G91" i="5"/>
  <c r="H91" i="5"/>
  <c r="J91" i="5"/>
  <c r="I125" i="5"/>
  <c r="K125" i="5"/>
  <c r="L125" i="5"/>
  <c r="J125" i="5"/>
  <c r="G125" i="5"/>
  <c r="H125" i="5"/>
  <c r="I124" i="5"/>
  <c r="J124" i="5"/>
  <c r="L124" i="5"/>
  <c r="K124" i="5"/>
  <c r="G124" i="5"/>
  <c r="H124" i="5"/>
  <c r="I123" i="5"/>
  <c r="J123" i="5"/>
  <c r="K123" i="5"/>
  <c r="L123" i="5"/>
  <c r="G123" i="5"/>
  <c r="H123" i="5"/>
  <c r="G111" i="5"/>
  <c r="L111" i="5"/>
  <c r="I111" i="5"/>
  <c r="H111" i="5"/>
  <c r="J111" i="5"/>
  <c r="K111" i="5"/>
  <c r="I109" i="5"/>
  <c r="G109" i="5"/>
  <c r="J109" i="5"/>
  <c r="K109" i="5"/>
  <c r="L109" i="5"/>
  <c r="H109" i="5"/>
  <c r="I106" i="5"/>
  <c r="G106" i="5"/>
  <c r="J106" i="5"/>
  <c r="K106" i="5"/>
  <c r="L106" i="5"/>
  <c r="H106" i="5"/>
  <c r="L88" i="5"/>
  <c r="G88" i="5"/>
  <c r="J88" i="5"/>
  <c r="H88" i="5"/>
  <c r="I88" i="5"/>
  <c r="K88" i="5"/>
  <c r="L87" i="5"/>
  <c r="G87" i="5"/>
  <c r="J87" i="5"/>
  <c r="H87" i="5"/>
  <c r="I87" i="5"/>
  <c r="K87" i="5"/>
  <c r="L86" i="5"/>
  <c r="G86" i="5"/>
  <c r="J86" i="5"/>
  <c r="H86" i="5"/>
  <c r="I86" i="5"/>
  <c r="K86" i="5"/>
  <c r="L85" i="5"/>
  <c r="G85" i="5"/>
  <c r="J85" i="5"/>
  <c r="H85" i="5"/>
  <c r="I85" i="5"/>
  <c r="K85" i="5"/>
  <c r="L84" i="5"/>
  <c r="G84" i="5"/>
  <c r="J84" i="5"/>
  <c r="H84" i="5"/>
  <c r="I84" i="5"/>
  <c r="K84" i="5"/>
  <c r="I68" i="5"/>
  <c r="J68" i="5"/>
  <c r="K68" i="5"/>
  <c r="L68" i="5"/>
  <c r="G68" i="5"/>
  <c r="H68" i="5"/>
  <c r="I67" i="5"/>
  <c r="J67" i="5"/>
  <c r="K67" i="5"/>
  <c r="L67" i="5"/>
  <c r="G67" i="5"/>
  <c r="H67" i="5"/>
  <c r="I66" i="5"/>
  <c r="J66" i="5"/>
  <c r="K66" i="5"/>
  <c r="L66" i="5"/>
  <c r="G66" i="5"/>
  <c r="H66" i="5"/>
  <c r="I65" i="5"/>
  <c r="J65" i="5"/>
  <c r="K65" i="5"/>
  <c r="L65" i="5"/>
  <c r="G65" i="5"/>
  <c r="H65" i="5"/>
  <c r="I64" i="5"/>
  <c r="J64" i="5"/>
  <c r="K64" i="5"/>
  <c r="L64" i="5"/>
  <c r="G64" i="5"/>
  <c r="H64" i="5"/>
  <c r="I63" i="5"/>
  <c r="J63" i="5"/>
  <c r="K63" i="5"/>
  <c r="L63" i="5"/>
  <c r="G63" i="5"/>
  <c r="H63" i="5"/>
  <c r="I40" i="5"/>
  <c r="J40" i="5"/>
  <c r="K40" i="5"/>
  <c r="L40" i="5"/>
  <c r="G40" i="5"/>
  <c r="H40" i="5"/>
  <c r="I22" i="5"/>
  <c r="J22" i="5"/>
  <c r="K22" i="5"/>
  <c r="L22" i="5"/>
  <c r="G22" i="5"/>
  <c r="H22" i="5"/>
  <c r="I21" i="5"/>
  <c r="J21" i="5"/>
  <c r="K21" i="5"/>
  <c r="L21" i="5"/>
  <c r="G21" i="5"/>
  <c r="H21" i="5"/>
  <c r="I20" i="5"/>
  <c r="J20" i="5"/>
  <c r="K20" i="5"/>
  <c r="L20" i="5"/>
  <c r="G20" i="5"/>
  <c r="H20" i="5"/>
  <c r="I19" i="5"/>
  <c r="J19" i="5"/>
  <c r="K19" i="5"/>
  <c r="L19" i="5"/>
  <c r="G19" i="5"/>
  <c r="H19" i="5"/>
  <c r="L112" i="5"/>
  <c r="G112" i="5"/>
  <c r="H112" i="5"/>
  <c r="I112" i="5"/>
  <c r="J112" i="5"/>
  <c r="K112" i="5"/>
  <c r="G110" i="5"/>
  <c r="K110" i="5"/>
  <c r="L110" i="5"/>
  <c r="H110" i="5"/>
  <c r="I110" i="5"/>
  <c r="J110" i="5"/>
  <c r="I108" i="5"/>
  <c r="G108" i="5"/>
  <c r="K108" i="5"/>
  <c r="H108" i="5"/>
  <c r="J108" i="5"/>
  <c r="L108" i="5"/>
  <c r="I107" i="5"/>
  <c r="G107" i="5"/>
  <c r="L107" i="5"/>
  <c r="H107" i="5"/>
  <c r="J107" i="5"/>
  <c r="K107" i="5"/>
  <c r="I105" i="5"/>
  <c r="G105" i="5"/>
  <c r="H105" i="5"/>
  <c r="J105" i="5"/>
  <c r="K105" i="5"/>
  <c r="L105" i="5"/>
  <c r="I104" i="5"/>
  <c r="G104" i="5"/>
  <c r="L104" i="5"/>
  <c r="H104" i="5"/>
  <c r="J104" i="5"/>
  <c r="K104" i="5"/>
  <c r="I103" i="5"/>
  <c r="G103" i="5"/>
  <c r="J103" i="5"/>
  <c r="K103" i="5"/>
  <c r="L103" i="5"/>
  <c r="H103" i="5"/>
  <c r="I102" i="5"/>
  <c r="G102" i="5"/>
  <c r="H102" i="5"/>
  <c r="J102" i="5"/>
  <c r="K102" i="5"/>
  <c r="L102" i="5"/>
  <c r="I101" i="5"/>
  <c r="G101" i="5"/>
  <c r="L101" i="5"/>
  <c r="H101" i="5"/>
  <c r="J101" i="5"/>
  <c r="K101" i="5"/>
  <c r="I100" i="5"/>
  <c r="G100" i="5"/>
  <c r="J100" i="5"/>
  <c r="K100" i="5"/>
  <c r="L100" i="5"/>
  <c r="H100" i="5"/>
  <c r="I99" i="5"/>
  <c r="G99" i="5"/>
  <c r="H99" i="5"/>
  <c r="J99" i="5"/>
  <c r="K99" i="5"/>
  <c r="L99" i="5"/>
  <c r="I98" i="5"/>
  <c r="G98" i="5"/>
  <c r="L98" i="5"/>
  <c r="H98" i="5"/>
  <c r="J98" i="5"/>
  <c r="K98" i="5"/>
  <c r="I97" i="5"/>
  <c r="G97" i="5"/>
  <c r="J97" i="5"/>
  <c r="K97" i="5"/>
  <c r="L97" i="5"/>
  <c r="H97" i="5"/>
  <c r="J121" i="5"/>
  <c r="L121" i="5"/>
  <c r="K121" i="5"/>
  <c r="G121" i="5"/>
  <c r="H121" i="5"/>
  <c r="I121" i="5"/>
  <c r="J120" i="5"/>
  <c r="G120" i="5"/>
  <c r="K120" i="5"/>
  <c r="L120" i="5"/>
  <c r="H120" i="5"/>
  <c r="I120" i="5"/>
  <c r="J95" i="5"/>
  <c r="H95" i="5"/>
  <c r="G95" i="5"/>
  <c r="I95" i="5"/>
  <c r="K95" i="5"/>
  <c r="L95" i="5"/>
  <c r="J61" i="5"/>
  <c r="K61" i="5"/>
  <c r="L61" i="5"/>
  <c r="G61" i="5"/>
  <c r="H61" i="5"/>
  <c r="I61" i="5"/>
  <c r="J60" i="5"/>
  <c r="K60" i="5"/>
  <c r="L60" i="5"/>
  <c r="G60" i="5"/>
  <c r="H60" i="5"/>
  <c r="I60" i="5"/>
  <c r="J59" i="5"/>
  <c r="K59" i="5"/>
  <c r="L59" i="5"/>
  <c r="G59" i="5"/>
  <c r="H59" i="5"/>
  <c r="I59" i="5"/>
  <c r="J58" i="5"/>
  <c r="K58" i="5"/>
  <c r="L58" i="5"/>
  <c r="G58" i="5"/>
  <c r="H58" i="5"/>
  <c r="I58" i="5"/>
  <c r="J57" i="5"/>
  <c r="K57" i="5"/>
  <c r="L57" i="5"/>
  <c r="G57" i="5"/>
  <c r="H57" i="5"/>
  <c r="I57" i="5"/>
  <c r="J38" i="5"/>
  <c r="K38" i="5"/>
  <c r="L38" i="5"/>
  <c r="G38" i="5"/>
  <c r="H38" i="5"/>
  <c r="I38" i="5"/>
  <c r="J37" i="5"/>
  <c r="K37" i="5"/>
  <c r="L37" i="5"/>
  <c r="G37" i="5"/>
  <c r="H37" i="5"/>
  <c r="I37" i="5"/>
  <c r="J36" i="5"/>
  <c r="K36" i="5"/>
  <c r="L36" i="5"/>
  <c r="G36" i="5"/>
  <c r="H36" i="5"/>
  <c r="I36" i="5"/>
  <c r="G31" i="5"/>
  <c r="H31" i="5"/>
  <c r="I31" i="5"/>
  <c r="J31" i="5"/>
  <c r="K31" i="5"/>
  <c r="L31" i="5"/>
  <c r="G30" i="5"/>
  <c r="H30" i="5"/>
  <c r="I30" i="5"/>
  <c r="J30" i="5"/>
  <c r="K30" i="5"/>
  <c r="L30" i="5"/>
  <c r="G29" i="5"/>
  <c r="H29" i="5"/>
  <c r="I29" i="5"/>
  <c r="J29" i="5"/>
  <c r="K29" i="5"/>
  <c r="L29" i="5"/>
  <c r="G28" i="5"/>
  <c r="H28" i="5"/>
  <c r="I28" i="5"/>
  <c r="J28" i="5"/>
  <c r="K28" i="5"/>
  <c r="L28" i="5"/>
  <c r="J17" i="5"/>
  <c r="K17" i="5"/>
  <c r="L17" i="5"/>
  <c r="G17" i="5"/>
  <c r="H17" i="5"/>
  <c r="I17" i="5"/>
  <c r="J16" i="5"/>
  <c r="K16" i="5"/>
  <c r="L16" i="5"/>
  <c r="G16" i="5"/>
  <c r="H16" i="5"/>
  <c r="I16" i="5"/>
  <c r="P16" i="5" s="1"/>
  <c r="J15" i="5"/>
  <c r="K15" i="5"/>
  <c r="L15" i="5"/>
  <c r="G15" i="5"/>
  <c r="H15" i="5"/>
  <c r="I15" i="5"/>
  <c r="J14" i="5"/>
  <c r="K14" i="5"/>
  <c r="L14" i="5"/>
  <c r="G14" i="5"/>
  <c r="H14" i="5"/>
  <c r="I14" i="5"/>
  <c r="J13" i="5"/>
  <c r="K13" i="5"/>
  <c r="L13" i="5"/>
  <c r="G13" i="5"/>
  <c r="H13" i="5"/>
  <c r="I13" i="5"/>
  <c r="G9" i="5"/>
  <c r="H9" i="5"/>
  <c r="I9" i="5"/>
  <c r="J9" i="5"/>
  <c r="K9" i="5"/>
  <c r="L9" i="5"/>
  <c r="G8" i="5"/>
  <c r="H8" i="5"/>
  <c r="I8" i="5"/>
  <c r="P8" i="5" s="1"/>
  <c r="J8" i="5"/>
  <c r="K8" i="5"/>
  <c r="L8" i="5"/>
  <c r="J7" i="5"/>
  <c r="I7" i="5"/>
  <c r="P7" i="5" s="1"/>
  <c r="H7" i="5"/>
  <c r="L7" i="5"/>
  <c r="K7" i="5"/>
  <c r="G7" i="5"/>
  <c r="S124" i="2"/>
  <c r="Q123" i="2"/>
  <c r="T123" i="2" s="1"/>
  <c r="S121" i="2"/>
  <c r="V121" i="2" s="1"/>
  <c r="S118" i="2"/>
  <c r="Q116" i="2"/>
  <c r="T116" i="2" s="1"/>
  <c r="S114" i="2"/>
  <c r="S111" i="2"/>
  <c r="V111" i="2" s="1"/>
  <c r="Q111" i="2"/>
  <c r="T111" i="2" s="1"/>
  <c r="S109" i="2"/>
  <c r="S107" i="2"/>
  <c r="Q105" i="2"/>
  <c r="T105" i="2" s="1"/>
  <c r="Q103" i="2"/>
  <c r="T103" i="2" s="1"/>
  <c r="S101" i="2"/>
  <c r="S99" i="2"/>
  <c r="V99" i="2" s="1"/>
  <c r="Q99" i="2"/>
  <c r="T99" i="2" s="1"/>
  <c r="Q97" i="2"/>
  <c r="T97" i="2" s="1"/>
  <c r="S93" i="2"/>
  <c r="Q91" i="2"/>
  <c r="T91" i="2" s="1"/>
  <c r="Q88" i="2"/>
  <c r="T88" i="2" s="1"/>
  <c r="S86" i="2"/>
  <c r="Q84" i="2"/>
  <c r="T84" i="2" s="1"/>
  <c r="Q80" i="2"/>
  <c r="T80" i="2" s="1"/>
  <c r="S78" i="2"/>
  <c r="Q76" i="2"/>
  <c r="T76" i="2" s="1"/>
  <c r="W74" i="2"/>
  <c r="Z74" i="2" s="1"/>
  <c r="S73" i="2"/>
  <c r="V73" i="2" s="1"/>
  <c r="Q73" i="2"/>
  <c r="T73" i="2" s="1"/>
  <c r="S72" i="2"/>
  <c r="V72" i="2" s="1"/>
  <c r="S71" i="2"/>
  <c r="Q70" i="2"/>
  <c r="T70" i="2" s="1"/>
  <c r="S68" i="2"/>
  <c r="V68" i="2" s="1"/>
  <c r="S67" i="2"/>
  <c r="V67" i="2" s="1"/>
  <c r="S66" i="2"/>
  <c r="Q65" i="2"/>
  <c r="T65" i="2" s="1"/>
  <c r="Q63" i="2"/>
  <c r="T63" i="2" s="1"/>
  <c r="S61" i="2"/>
  <c r="Q60" i="2"/>
  <c r="T60" i="2" s="1"/>
  <c r="W58" i="2"/>
  <c r="Z58" i="2" s="1"/>
  <c r="Q57" i="2"/>
  <c r="T57" i="2" s="1"/>
  <c r="Q55" i="2"/>
  <c r="T55" i="2" s="1"/>
  <c r="Q53" i="2"/>
  <c r="T53" i="2" s="1"/>
  <c r="Q52" i="2"/>
  <c r="T52" i="2" s="1"/>
  <c r="S51" i="2"/>
  <c r="V51" i="2" s="1"/>
  <c r="S50" i="2"/>
  <c r="Q49" i="2"/>
  <c r="T49" i="2" s="1"/>
  <c r="W44" i="2"/>
  <c r="Z44" i="2" s="1"/>
  <c r="Q43" i="2"/>
  <c r="T43" i="2" s="1"/>
  <c r="S42" i="2"/>
  <c r="V42" i="2" s="1"/>
  <c r="S38" i="2"/>
  <c r="V38" i="2" s="1"/>
  <c r="Q37" i="2"/>
  <c r="T37" i="2" s="1"/>
  <c r="W36" i="2"/>
  <c r="Z36" i="2" s="1"/>
  <c r="S34" i="2"/>
  <c r="Y31" i="2"/>
  <c r="Q30" i="2"/>
  <c r="T30" i="2" s="1"/>
  <c r="Y29" i="2"/>
  <c r="Y28" i="2"/>
  <c r="AB28" i="2" s="1"/>
  <c r="Y26" i="2"/>
  <c r="W25" i="2"/>
  <c r="Z25" i="2" s="1"/>
  <c r="Y24" i="2"/>
  <c r="Y22" i="2"/>
  <c r="Y21" i="2"/>
  <c r="W20" i="2"/>
  <c r="Z20" i="2" s="1"/>
  <c r="S20" i="2"/>
  <c r="Y19" i="2"/>
  <c r="Y17" i="2"/>
  <c r="Y16" i="2"/>
  <c r="S15" i="2"/>
  <c r="Y15" i="2"/>
  <c r="W14" i="2"/>
  <c r="S13" i="2"/>
  <c r="V13" i="2" s="1"/>
  <c r="W9" i="2"/>
  <c r="Z9" i="2" s="1"/>
  <c r="Q8" i="2"/>
  <c r="T8" i="2" s="1"/>
  <c r="Y8" i="2"/>
  <c r="Y7" i="2"/>
  <c r="R1" i="2"/>
  <c r="S125" i="3"/>
  <c r="V125" i="3" s="1"/>
  <c r="S124" i="3"/>
  <c r="Q124" i="3"/>
  <c r="T124" i="3" s="1"/>
  <c r="Q123" i="3"/>
  <c r="T123" i="3" s="1"/>
  <c r="S121" i="3"/>
  <c r="V121" i="3" s="1"/>
  <c r="Q121" i="3"/>
  <c r="S120" i="3"/>
  <c r="V120" i="3" s="1"/>
  <c r="S116" i="3"/>
  <c r="V116" i="3" s="1"/>
  <c r="Q116" i="3"/>
  <c r="T116" i="3" s="1"/>
  <c r="S115" i="3"/>
  <c r="V115" i="3" s="1"/>
  <c r="S114" i="3"/>
  <c r="S111" i="3"/>
  <c r="V111" i="3" s="1"/>
  <c r="Q111" i="3"/>
  <c r="T111" i="3" s="1"/>
  <c r="S110" i="3"/>
  <c r="V110" i="3" s="1"/>
  <c r="S109" i="3"/>
  <c r="Q106" i="3"/>
  <c r="T106" i="3" s="1"/>
  <c r="S105" i="3"/>
  <c r="V105" i="3" s="1"/>
  <c r="Q105" i="3"/>
  <c r="T105" i="3" s="1"/>
  <c r="S104" i="3"/>
  <c r="S103" i="3"/>
  <c r="S99" i="3"/>
  <c r="V99" i="3" s="1"/>
  <c r="R99" i="3"/>
  <c r="Q99" i="3"/>
  <c r="T99" i="3" s="1"/>
  <c r="S98" i="3"/>
  <c r="V98" i="3" s="1"/>
  <c r="S97" i="3"/>
  <c r="S93" i="3"/>
  <c r="Y88" i="3"/>
  <c r="S88" i="3"/>
  <c r="Q87" i="3"/>
  <c r="T87" i="3" s="1"/>
  <c r="Q85" i="3"/>
  <c r="T85" i="3" s="1"/>
  <c r="Q84" i="3"/>
  <c r="T84" i="3" s="1"/>
  <c r="Y84" i="3"/>
  <c r="S80" i="3"/>
  <c r="V80" i="3" s="1"/>
  <c r="Q80" i="3"/>
  <c r="T80" i="3" s="1"/>
  <c r="S79" i="3"/>
  <c r="V79" i="3" s="1"/>
  <c r="Q79" i="3"/>
  <c r="T79" i="3" s="1"/>
  <c r="S78" i="3"/>
  <c r="V78" i="3" s="1"/>
  <c r="Y77" i="3"/>
  <c r="Q76" i="3"/>
  <c r="T76" i="3" s="1"/>
  <c r="S76" i="3"/>
  <c r="S75" i="3"/>
  <c r="V75" i="3" s="1"/>
  <c r="S74" i="3"/>
  <c r="S73" i="3"/>
  <c r="Q73" i="3"/>
  <c r="T73" i="3" s="1"/>
  <c r="Y72" i="3"/>
  <c r="Q70" i="3"/>
  <c r="T70" i="3" s="1"/>
  <c r="Y70" i="3"/>
  <c r="S68" i="3"/>
  <c r="V68" i="3" s="1"/>
  <c r="Q68" i="3"/>
  <c r="T68" i="3" s="1"/>
  <c r="Q65" i="3"/>
  <c r="T65" i="3" s="1"/>
  <c r="S64" i="3"/>
  <c r="V64" i="3" s="1"/>
  <c r="S63" i="3"/>
  <c r="Q63" i="3"/>
  <c r="T63" i="3" s="1"/>
  <c r="W63" i="3"/>
  <c r="Z63" i="3" s="1"/>
  <c r="Q60" i="3"/>
  <c r="T60" i="3" s="1"/>
  <c r="Y60" i="3"/>
  <c r="S58" i="3"/>
  <c r="W58" i="3"/>
  <c r="Z58" i="3" s="1"/>
  <c r="Q55" i="3"/>
  <c r="T55" i="3" s="1"/>
  <c r="Y55" i="3"/>
  <c r="Q54" i="3"/>
  <c r="T54" i="3" s="1"/>
  <c r="Y53" i="3"/>
  <c r="S53" i="3"/>
  <c r="S52" i="3"/>
  <c r="Q52" i="3"/>
  <c r="T52" i="3" s="1"/>
  <c r="Q49" i="3"/>
  <c r="T49" i="3" s="1"/>
  <c r="W48" i="3"/>
  <c r="Z48" i="3" s="1"/>
  <c r="T44" i="3"/>
  <c r="S44" i="3"/>
  <c r="V44" i="3" s="1"/>
  <c r="Q44" i="3"/>
  <c r="W44" i="3"/>
  <c r="Z44" i="3" s="1"/>
  <c r="Y43" i="3"/>
  <c r="Y40" i="3"/>
  <c r="S40" i="3"/>
  <c r="Q40" i="3"/>
  <c r="T40" i="3" s="1"/>
  <c r="W37" i="3"/>
  <c r="Z37" i="3" s="1"/>
  <c r="Q37" i="3"/>
  <c r="T37" i="3" s="1"/>
  <c r="Y37" i="3"/>
  <c r="Y36" i="3"/>
  <c r="AB36" i="3" s="1"/>
  <c r="S36" i="3"/>
  <c r="V36" i="3" s="1"/>
  <c r="W36" i="3"/>
  <c r="Z36" i="3" s="1"/>
  <c r="Y34" i="3"/>
  <c r="S31" i="3"/>
  <c r="V31" i="3" s="1"/>
  <c r="Q31" i="3"/>
  <c r="T31" i="3" s="1"/>
  <c r="Y30" i="3"/>
  <c r="W28" i="3"/>
  <c r="Z28" i="3" s="1"/>
  <c r="Q28" i="3"/>
  <c r="T28" i="3" s="1"/>
  <c r="Y28" i="3"/>
  <c r="S26" i="3"/>
  <c r="V26" i="3" s="1"/>
  <c r="Q26" i="3"/>
  <c r="R26" i="3" s="1"/>
  <c r="Y25" i="3"/>
  <c r="Y22" i="3"/>
  <c r="S22" i="3"/>
  <c r="W22" i="3"/>
  <c r="Z22" i="3" s="1"/>
  <c r="S21" i="3"/>
  <c r="V21" i="3" s="1"/>
  <c r="Q21" i="3"/>
  <c r="R21" i="3" s="1"/>
  <c r="W19" i="3"/>
  <c r="Z19" i="3" s="1"/>
  <c r="Q19" i="3"/>
  <c r="T19" i="3" s="1"/>
  <c r="Y17" i="3"/>
  <c r="S17" i="3"/>
  <c r="W17" i="3"/>
  <c r="Z17" i="3" s="1"/>
  <c r="S16" i="3"/>
  <c r="V16" i="3" s="1"/>
  <c r="Q16" i="3"/>
  <c r="T16" i="3" s="1"/>
  <c r="W14" i="3"/>
  <c r="Z14" i="3" s="1"/>
  <c r="W13" i="3"/>
  <c r="Z13" i="3" s="1"/>
  <c r="Q13" i="3"/>
  <c r="T13" i="3" s="1"/>
  <c r="Y13" i="3"/>
  <c r="AB13" i="3" s="1"/>
  <c r="Y9" i="3"/>
  <c r="AB9" i="3" s="1"/>
  <c r="S9" i="3"/>
  <c r="V9" i="3" s="1"/>
  <c r="W9" i="3"/>
  <c r="Z9" i="3" s="1"/>
  <c r="Y8" i="3"/>
  <c r="S8" i="3"/>
  <c r="W8" i="3"/>
  <c r="Z8" i="3" s="1"/>
  <c r="W7" i="3"/>
  <c r="Z7" i="3" s="1"/>
  <c r="S7" i="3"/>
  <c r="V7" i="3" s="1"/>
  <c r="Q7" i="3"/>
  <c r="R7" i="3" s="1"/>
  <c r="R1" i="3"/>
  <c r="Y74" i="3" s="1"/>
  <c r="AB17" i="6" l="1"/>
  <c r="AA17" i="6" s="1"/>
  <c r="O16" i="5"/>
  <c r="P66" i="5"/>
  <c r="P67" i="5"/>
  <c r="P37" i="5"/>
  <c r="P60" i="5"/>
  <c r="P90" i="5"/>
  <c r="P24" i="5"/>
  <c r="P81" i="5"/>
  <c r="P92" i="5"/>
  <c r="P93" i="5"/>
  <c r="BF7" i="5"/>
  <c r="AD84" i="5"/>
  <c r="AC84" i="5" s="1"/>
  <c r="W85" i="5"/>
  <c r="V85" i="5" s="1"/>
  <c r="AD86" i="5"/>
  <c r="AC86" i="5" s="1"/>
  <c r="AD88" i="5"/>
  <c r="AC88" i="5" s="1"/>
  <c r="AD112" i="5"/>
  <c r="AC112" i="5" s="1"/>
  <c r="AD24" i="5"/>
  <c r="AC24" i="5" s="1"/>
  <c r="AD25" i="5"/>
  <c r="AC25" i="5" s="1"/>
  <c r="W26" i="5"/>
  <c r="V26" i="5" s="1"/>
  <c r="AK34" i="5"/>
  <c r="AJ34" i="5" s="1"/>
  <c r="AD42" i="5"/>
  <c r="AC42" i="5" s="1"/>
  <c r="AK43" i="5"/>
  <c r="AJ43" i="5" s="1"/>
  <c r="AD44" i="5"/>
  <c r="AC44" i="5" s="1"/>
  <c r="AR48" i="5"/>
  <c r="AQ48" i="5" s="1"/>
  <c r="AY49" i="5"/>
  <c r="AX49" i="5" s="1"/>
  <c r="W50" i="5"/>
  <c r="V50" i="5" s="1"/>
  <c r="AY51" i="5"/>
  <c r="AX51" i="5" s="1"/>
  <c r="AD52" i="5"/>
  <c r="AC52" i="5" s="1"/>
  <c r="W53" i="5"/>
  <c r="V53" i="5" s="1"/>
  <c r="AD54" i="5"/>
  <c r="AC54" i="5" s="1"/>
  <c r="AX55" i="5"/>
  <c r="AD70" i="5"/>
  <c r="AC70" i="5" s="1"/>
  <c r="W71" i="5"/>
  <c r="V71" i="5" s="1"/>
  <c r="AD72" i="5"/>
  <c r="AC72" i="5" s="1"/>
  <c r="AD73" i="5"/>
  <c r="AC73" i="5" s="1"/>
  <c r="AK74" i="5"/>
  <c r="AJ74" i="5" s="1"/>
  <c r="AD75" i="5"/>
  <c r="AC75" i="5" s="1"/>
  <c r="W76" i="5"/>
  <c r="V76" i="5" s="1"/>
  <c r="AD77" i="5"/>
  <c r="AC77" i="5" s="1"/>
  <c r="AK78" i="5"/>
  <c r="AJ78" i="5" s="1"/>
  <c r="AD79" i="5"/>
  <c r="AC79" i="5" s="1"/>
  <c r="W80" i="5"/>
  <c r="V80" i="5" s="1"/>
  <c r="AD81" i="5"/>
  <c r="AC81" i="5" s="1"/>
  <c r="AD90" i="5"/>
  <c r="AC90" i="5" s="1"/>
  <c r="W91" i="5"/>
  <c r="V91" i="5" s="1"/>
  <c r="W92" i="5"/>
  <c r="V92" i="5" s="1"/>
  <c r="AD93" i="5"/>
  <c r="AC93" i="5" s="1"/>
  <c r="AD114" i="5"/>
  <c r="AC114" i="5" s="1"/>
  <c r="W115" i="5"/>
  <c r="V115" i="5" s="1"/>
  <c r="AD116" i="5"/>
  <c r="AC116" i="5" s="1"/>
  <c r="AD117" i="5"/>
  <c r="AC117" i="5" s="1"/>
  <c r="AD118" i="5"/>
  <c r="AC118" i="5" s="1"/>
  <c r="W87" i="5"/>
  <c r="V87" i="5" s="1"/>
  <c r="W111" i="5"/>
  <c r="V111" i="5" s="1"/>
  <c r="AD7" i="5"/>
  <c r="W8" i="5"/>
  <c r="AK9" i="5"/>
  <c r="W13" i="5"/>
  <c r="V13" i="5" s="1"/>
  <c r="AR14" i="5"/>
  <c r="AQ14" i="5" s="1"/>
  <c r="AY15" i="5"/>
  <c r="AX15" i="5" s="1"/>
  <c r="W16" i="5"/>
  <c r="V16" i="5" s="1"/>
  <c r="AR17" i="5"/>
  <c r="AQ17" i="5" s="1"/>
  <c r="AK28" i="5"/>
  <c r="AJ28" i="5" s="1"/>
  <c r="W29" i="5"/>
  <c r="V29" i="5" s="1"/>
  <c r="W30" i="5"/>
  <c r="V30" i="5" s="1"/>
  <c r="AK31" i="5"/>
  <c r="AJ31" i="5" s="1"/>
  <c r="AD36" i="5"/>
  <c r="AC36" i="5" s="1"/>
  <c r="AR37" i="5"/>
  <c r="AQ37" i="5" s="1"/>
  <c r="W38" i="5"/>
  <c r="V38" i="5" s="1"/>
  <c r="AY57" i="5"/>
  <c r="AX57" i="5" s="1"/>
  <c r="W58" i="5"/>
  <c r="V58" i="5" s="1"/>
  <c r="AD59" i="5"/>
  <c r="AC59" i="5" s="1"/>
  <c r="W60" i="5"/>
  <c r="V60" i="5" s="1"/>
  <c r="AK61" i="5"/>
  <c r="AJ61" i="5" s="1"/>
  <c r="W95" i="5"/>
  <c r="V95" i="5" s="1"/>
  <c r="AD120" i="5"/>
  <c r="AC120" i="5" s="1"/>
  <c r="W121" i="5"/>
  <c r="V121" i="5" s="1"/>
  <c r="W110" i="5"/>
  <c r="V110" i="5" s="1"/>
  <c r="BG7" i="5"/>
  <c r="BI7" i="5" s="1"/>
  <c r="AK24" i="5"/>
  <c r="AJ24" i="5" s="1"/>
  <c r="AR25" i="5"/>
  <c r="AQ25" i="5" s="1"/>
  <c r="AK26" i="5"/>
  <c r="AJ26" i="5" s="1"/>
  <c r="AD34" i="5"/>
  <c r="AC34" i="5" s="1"/>
  <c r="AR42" i="5"/>
  <c r="AQ42" i="5" s="1"/>
  <c r="W43" i="5"/>
  <c r="V43" i="5" s="1"/>
  <c r="AR44" i="5"/>
  <c r="AQ44" i="5" s="1"/>
  <c r="W48" i="5"/>
  <c r="V48" i="5" s="1"/>
  <c r="AD49" i="5"/>
  <c r="AC49" i="5" s="1"/>
  <c r="AR50" i="5"/>
  <c r="AQ50" i="5" s="1"/>
  <c r="AD51" i="5"/>
  <c r="AC51" i="5" s="1"/>
  <c r="AR52" i="5"/>
  <c r="AQ52" i="5" s="1"/>
  <c r="AD53" i="5"/>
  <c r="AC53" i="5" s="1"/>
  <c r="AR54" i="5"/>
  <c r="AQ54" i="5" s="1"/>
  <c r="W55" i="5"/>
  <c r="V55" i="5" s="1"/>
  <c r="AR70" i="5"/>
  <c r="AQ70" i="5" s="1"/>
  <c r="AY71" i="5"/>
  <c r="AX71" i="5" s="1"/>
  <c r="W72" i="5"/>
  <c r="V72" i="5" s="1"/>
  <c r="AK73" i="5"/>
  <c r="AJ73" i="5" s="1"/>
  <c r="W74" i="5"/>
  <c r="V74" i="5" s="1"/>
  <c r="AR75" i="5"/>
  <c r="AQ75" i="5" s="1"/>
  <c r="AK76" i="5"/>
  <c r="AJ76" i="5" s="1"/>
  <c r="AR77" i="5"/>
  <c r="AQ77" i="5" s="1"/>
  <c r="W78" i="5"/>
  <c r="V78" i="5" s="1"/>
  <c r="AR79" i="5"/>
  <c r="AQ79" i="5" s="1"/>
  <c r="AD80" i="5"/>
  <c r="AC80" i="5" s="1"/>
  <c r="AR81" i="5"/>
  <c r="AQ81" i="5" s="1"/>
  <c r="AR90" i="5"/>
  <c r="AQ90" i="5" s="1"/>
  <c r="AK91" i="5"/>
  <c r="AJ91" i="5" s="1"/>
  <c r="AY92" i="5"/>
  <c r="AX92" i="5" s="1"/>
  <c r="AR93" i="5"/>
  <c r="AQ93" i="5" s="1"/>
  <c r="AD115" i="5"/>
  <c r="AC115" i="5" s="1"/>
  <c r="AK116" i="5"/>
  <c r="AJ116" i="5" s="1"/>
  <c r="AR117" i="5"/>
  <c r="AQ117" i="5" s="1"/>
  <c r="AR118" i="5"/>
  <c r="AQ118" i="5" s="1"/>
  <c r="AD111" i="5"/>
  <c r="AC111" i="5" s="1"/>
  <c r="S98" i="5"/>
  <c r="AU98" i="5"/>
  <c r="AN98" i="5"/>
  <c r="BB98" i="5"/>
  <c r="AG98" i="5"/>
  <c r="Z98" i="5"/>
  <c r="S103" i="5"/>
  <c r="AU103" i="5"/>
  <c r="BB103" i="5"/>
  <c r="Z103" i="5"/>
  <c r="AN103" i="5"/>
  <c r="AG103" i="5"/>
  <c r="S107" i="5"/>
  <c r="AU107" i="5"/>
  <c r="BB107" i="5"/>
  <c r="AG107" i="5"/>
  <c r="AN107" i="5"/>
  <c r="Z107" i="5"/>
  <c r="S64" i="5"/>
  <c r="BB64" i="5"/>
  <c r="AN64" i="5"/>
  <c r="AU64" i="5"/>
  <c r="Z64" i="5"/>
  <c r="AG64" i="5"/>
  <c r="S68" i="5"/>
  <c r="AU68" i="5"/>
  <c r="BB68" i="5"/>
  <c r="Z68" i="5"/>
  <c r="AN68" i="5"/>
  <c r="AG68" i="5"/>
  <c r="S106" i="5"/>
  <c r="AU106" i="5"/>
  <c r="BB106" i="5"/>
  <c r="AN106" i="5"/>
  <c r="Z106" i="5"/>
  <c r="AG106" i="5"/>
  <c r="S125" i="5"/>
  <c r="BB125" i="5"/>
  <c r="AN125" i="5"/>
  <c r="AU125" i="5"/>
  <c r="Z125" i="5"/>
  <c r="AG125" i="5"/>
  <c r="AK33" i="5"/>
  <c r="AJ33" i="5" s="1"/>
  <c r="W19" i="5"/>
  <c r="AD68" i="5"/>
  <c r="AC68" i="5" s="1"/>
  <c r="AK101" i="5"/>
  <c r="AJ101" i="5" s="1"/>
  <c r="W109" i="5"/>
  <c r="V109" i="5" s="1"/>
  <c r="W63" i="5"/>
  <c r="V63" i="5" s="1"/>
  <c r="W66" i="5"/>
  <c r="V66" i="5" s="1"/>
  <c r="S15" i="5"/>
  <c r="AU15" i="5"/>
  <c r="AN15" i="5"/>
  <c r="AG15" i="5"/>
  <c r="Z15" i="5"/>
  <c r="BB15" i="5"/>
  <c r="S38" i="5"/>
  <c r="AN38" i="5"/>
  <c r="BB38" i="5"/>
  <c r="AU38" i="5"/>
  <c r="Z38" i="5"/>
  <c r="AG38" i="5"/>
  <c r="S61" i="5"/>
  <c r="BB61" i="5"/>
  <c r="AN61" i="5"/>
  <c r="AU61" i="5"/>
  <c r="AG61" i="5"/>
  <c r="Z61" i="5"/>
  <c r="AR22" i="5"/>
  <c r="AQ22" i="5" s="1"/>
  <c r="W40" i="5"/>
  <c r="V40" i="5" s="1"/>
  <c r="AD64" i="5"/>
  <c r="AC64" i="5" s="1"/>
  <c r="AK84" i="5"/>
  <c r="AJ84" i="5" s="1"/>
  <c r="AY85" i="5"/>
  <c r="AX85" i="5" s="1"/>
  <c r="AR86" i="5"/>
  <c r="AQ86" i="5" s="1"/>
  <c r="AR88" i="5"/>
  <c r="AQ88" i="5" s="1"/>
  <c r="AK104" i="5"/>
  <c r="AJ104" i="5" s="1"/>
  <c r="AK112" i="5"/>
  <c r="AJ112" i="5" s="1"/>
  <c r="AY124" i="5"/>
  <c r="AX124" i="5" s="1"/>
  <c r="AD33" i="5"/>
  <c r="AC33" i="5" s="1"/>
  <c r="AK114" i="5"/>
  <c r="AJ114" i="5" s="1"/>
  <c r="AD19" i="5"/>
  <c r="W20" i="5"/>
  <c r="V20" i="5" s="1"/>
  <c r="W21" i="5"/>
  <c r="V21" i="5" s="1"/>
  <c r="AD65" i="5"/>
  <c r="AC65" i="5" s="1"/>
  <c r="AD67" i="5"/>
  <c r="AC67" i="5" s="1"/>
  <c r="W68" i="5"/>
  <c r="V68" i="5" s="1"/>
  <c r="AD87" i="5"/>
  <c r="AC87" i="5" s="1"/>
  <c r="AD97" i="5"/>
  <c r="AC97" i="5" s="1"/>
  <c r="W98" i="5"/>
  <c r="V98" i="5" s="1"/>
  <c r="AD99" i="5"/>
  <c r="AC99" i="5" s="1"/>
  <c r="AD101" i="5"/>
  <c r="AC101" i="5" s="1"/>
  <c r="AD103" i="5"/>
  <c r="AC103" i="5" s="1"/>
  <c r="AR105" i="5"/>
  <c r="AQ105" i="5" s="1"/>
  <c r="AD106" i="5"/>
  <c r="AC106" i="5" s="1"/>
  <c r="W108" i="5"/>
  <c r="V108" i="5" s="1"/>
  <c r="AK109" i="5"/>
  <c r="AJ109" i="5" s="1"/>
  <c r="W123" i="5"/>
  <c r="V123" i="5" s="1"/>
  <c r="W125" i="5"/>
  <c r="V125" i="5" s="1"/>
  <c r="W7" i="5"/>
  <c r="AD8" i="5"/>
  <c r="W9" i="5"/>
  <c r="AY13" i="5"/>
  <c r="AX13" i="5" s="1"/>
  <c r="AC14" i="5"/>
  <c r="W15" i="5"/>
  <c r="V15" i="5" s="1"/>
  <c r="AK16" i="5"/>
  <c r="AJ16" i="5" s="1"/>
  <c r="AC17" i="5"/>
  <c r="W28" i="5"/>
  <c r="V28" i="5" s="1"/>
  <c r="AD29" i="5"/>
  <c r="AC29" i="5" s="1"/>
  <c r="AD30" i="5"/>
  <c r="AC30" i="5" s="1"/>
  <c r="W31" i="5"/>
  <c r="V31" i="5" s="1"/>
  <c r="W36" i="5"/>
  <c r="V36" i="5" s="1"/>
  <c r="W37" i="5"/>
  <c r="V37" i="5" s="1"/>
  <c r="AY38" i="5"/>
  <c r="AX38" i="5" s="1"/>
  <c r="AD57" i="5"/>
  <c r="AC57" i="5" s="1"/>
  <c r="AD58" i="5"/>
  <c r="AC58" i="5" s="1"/>
  <c r="W59" i="5"/>
  <c r="V59" i="5" s="1"/>
  <c r="AD60" i="5"/>
  <c r="AC60" i="5" s="1"/>
  <c r="AD61" i="5"/>
  <c r="AC61" i="5" s="1"/>
  <c r="AD95" i="5"/>
  <c r="AC95" i="5" s="1"/>
  <c r="W120" i="5"/>
  <c r="V120" i="5" s="1"/>
  <c r="AD121" i="5"/>
  <c r="AC121" i="5" s="1"/>
  <c r="AK63" i="5"/>
  <c r="AJ63" i="5" s="1"/>
  <c r="AD66" i="5"/>
  <c r="AC66" i="5" s="1"/>
  <c r="AD100" i="5"/>
  <c r="AC100" i="5" s="1"/>
  <c r="W102" i="5"/>
  <c r="V102" i="5" s="1"/>
  <c r="W107" i="5"/>
  <c r="V107" i="5" s="1"/>
  <c r="AD110" i="5"/>
  <c r="AC110" i="5" s="1"/>
  <c r="S101" i="5"/>
  <c r="AU101" i="5"/>
  <c r="AN101" i="5"/>
  <c r="BB101" i="5"/>
  <c r="AG101" i="5"/>
  <c r="Z101" i="5"/>
  <c r="S108" i="5"/>
  <c r="AN108" i="5"/>
  <c r="AU108" i="5"/>
  <c r="BB108" i="5"/>
  <c r="Z108" i="5"/>
  <c r="AG108" i="5"/>
  <c r="S20" i="5"/>
  <c r="AU20" i="5"/>
  <c r="Z20" i="5"/>
  <c r="AG20" i="5"/>
  <c r="BB20" i="5"/>
  <c r="AN20" i="5"/>
  <c r="S21" i="5"/>
  <c r="AN21" i="5"/>
  <c r="BB21" i="5"/>
  <c r="AU21" i="5"/>
  <c r="AG21" i="5"/>
  <c r="Z21" i="5"/>
  <c r="S66" i="5"/>
  <c r="AN66" i="5"/>
  <c r="AU66" i="5"/>
  <c r="AG66" i="5"/>
  <c r="BB66" i="5"/>
  <c r="Z66" i="5"/>
  <c r="W65" i="5"/>
  <c r="V65" i="5" s="1"/>
  <c r="AD98" i="5"/>
  <c r="AC98" i="5" s="1"/>
  <c r="AD105" i="5"/>
  <c r="AC105" i="5" s="1"/>
  <c r="AD125" i="5"/>
  <c r="AC125" i="5" s="1"/>
  <c r="AD107" i="5"/>
  <c r="AC107" i="5" s="1"/>
  <c r="S13" i="5"/>
  <c r="AN13" i="5"/>
  <c r="Z13" i="5"/>
  <c r="BB13" i="5"/>
  <c r="AG13" i="5"/>
  <c r="AU13" i="5"/>
  <c r="S17" i="5"/>
  <c r="BB17" i="5"/>
  <c r="AN17" i="5"/>
  <c r="AU17" i="5"/>
  <c r="AG17" i="5"/>
  <c r="Z17" i="5"/>
  <c r="S58" i="5"/>
  <c r="AN58" i="5"/>
  <c r="BB58" i="5"/>
  <c r="Z58" i="5"/>
  <c r="AU58" i="5"/>
  <c r="AG58" i="5"/>
  <c r="S121" i="5"/>
  <c r="BB121" i="5"/>
  <c r="AN121" i="5"/>
  <c r="AG121" i="5"/>
  <c r="AU121" i="5"/>
  <c r="Z121" i="5"/>
  <c r="S87" i="5"/>
  <c r="AU87" i="5"/>
  <c r="BB87" i="5"/>
  <c r="AN87" i="5"/>
  <c r="Z87" i="5"/>
  <c r="AG87" i="5"/>
  <c r="S88" i="5"/>
  <c r="BB88" i="5"/>
  <c r="AU88" i="5"/>
  <c r="Z88" i="5"/>
  <c r="AN88" i="5"/>
  <c r="AG88" i="5"/>
  <c r="S114" i="5"/>
  <c r="AU114" i="5"/>
  <c r="BB114" i="5"/>
  <c r="AN114" i="5"/>
  <c r="AG114" i="5"/>
  <c r="Z114" i="5"/>
  <c r="S115" i="5"/>
  <c r="AN115" i="5"/>
  <c r="BB115" i="5"/>
  <c r="AG115" i="5"/>
  <c r="Z115" i="5"/>
  <c r="AU115" i="5"/>
  <c r="S116" i="5"/>
  <c r="BB116" i="5"/>
  <c r="AN116" i="5"/>
  <c r="AU116" i="5"/>
  <c r="AG116" i="5"/>
  <c r="Z116" i="5"/>
  <c r="S117" i="5"/>
  <c r="AU117" i="5"/>
  <c r="BB117" i="5"/>
  <c r="Z117" i="5"/>
  <c r="AN117" i="5"/>
  <c r="AG117" i="5"/>
  <c r="S34" i="5"/>
  <c r="BB34" i="5"/>
  <c r="AN34" i="5"/>
  <c r="AG34" i="5"/>
  <c r="Z34" i="5"/>
  <c r="AU34" i="5"/>
  <c r="S48" i="5"/>
  <c r="AU48" i="5"/>
  <c r="BB48" i="5"/>
  <c r="AG48" i="5"/>
  <c r="Z48" i="5"/>
  <c r="AN48" i="5"/>
  <c r="S49" i="5"/>
  <c r="AN49" i="5"/>
  <c r="BB49" i="5"/>
  <c r="AU49" i="5"/>
  <c r="AG49" i="5"/>
  <c r="Z49" i="5"/>
  <c r="S50" i="5"/>
  <c r="AU50" i="5"/>
  <c r="BB50" i="5"/>
  <c r="AG50" i="5"/>
  <c r="AN50" i="5"/>
  <c r="Z50" i="5"/>
  <c r="S51" i="5"/>
  <c r="AN51" i="5"/>
  <c r="BB51" i="5"/>
  <c r="AU51" i="5"/>
  <c r="AG51" i="5"/>
  <c r="Z51" i="5"/>
  <c r="S52" i="5"/>
  <c r="AU52" i="5"/>
  <c r="AG52" i="5"/>
  <c r="BB52" i="5"/>
  <c r="AN52" i="5"/>
  <c r="Z52" i="5"/>
  <c r="S53" i="5"/>
  <c r="AN53" i="5"/>
  <c r="BB53" i="5"/>
  <c r="AU53" i="5"/>
  <c r="Z53" i="5"/>
  <c r="AG53" i="5"/>
  <c r="S54" i="5"/>
  <c r="AU54" i="5"/>
  <c r="AG54" i="5"/>
  <c r="BB54" i="5"/>
  <c r="Z54" i="5"/>
  <c r="AN54" i="5"/>
  <c r="S55" i="5"/>
  <c r="AN55" i="5"/>
  <c r="BB55" i="5"/>
  <c r="AU55" i="5"/>
  <c r="Z55" i="5"/>
  <c r="AG55" i="5"/>
  <c r="S118" i="5"/>
  <c r="AN118" i="5"/>
  <c r="AU118" i="5"/>
  <c r="AG118" i="5"/>
  <c r="Z118" i="5"/>
  <c r="BB118" i="5"/>
  <c r="P61" i="5"/>
  <c r="P101" i="5"/>
  <c r="AK22" i="5"/>
  <c r="AJ22" i="5" s="1"/>
  <c r="AR40" i="5"/>
  <c r="AQ40" i="5" s="1"/>
  <c r="AY64" i="5"/>
  <c r="AX64" i="5" s="1"/>
  <c r="AR84" i="5"/>
  <c r="AQ84" i="5" s="1"/>
  <c r="AK85" i="5"/>
  <c r="AJ85" i="5" s="1"/>
  <c r="AY86" i="5"/>
  <c r="AX86" i="5" s="1"/>
  <c r="AY88" i="5"/>
  <c r="AX88" i="5" s="1"/>
  <c r="AY104" i="5"/>
  <c r="AX104" i="5" s="1"/>
  <c r="AR112" i="5"/>
  <c r="AQ112" i="5" s="1"/>
  <c r="AR124" i="5"/>
  <c r="AQ124" i="5" s="1"/>
  <c r="AY24" i="5"/>
  <c r="AX24" i="5" s="1"/>
  <c r="AK25" i="5"/>
  <c r="AJ25" i="5" s="1"/>
  <c r="AY26" i="5"/>
  <c r="AX26" i="5" s="1"/>
  <c r="AY34" i="5"/>
  <c r="AX34" i="5" s="1"/>
  <c r="AY42" i="5"/>
  <c r="AX42" i="5" s="1"/>
  <c r="AY43" i="5"/>
  <c r="AX43" i="5" s="1"/>
  <c r="AK44" i="5"/>
  <c r="AJ44" i="5" s="1"/>
  <c r="AK48" i="5"/>
  <c r="AJ48" i="5" s="1"/>
  <c r="AK49" i="5"/>
  <c r="AJ49" i="5" s="1"/>
  <c r="AK50" i="5"/>
  <c r="AJ50" i="5" s="1"/>
  <c r="AK51" i="5"/>
  <c r="AJ51" i="5" s="1"/>
  <c r="AK52" i="5"/>
  <c r="AJ52" i="5" s="1"/>
  <c r="AK53" i="5"/>
  <c r="AJ53" i="5" s="1"/>
  <c r="AK54" i="5"/>
  <c r="AJ54" i="5" s="1"/>
  <c r="AK55" i="5"/>
  <c r="AJ55" i="5" s="1"/>
  <c r="AY70" i="5"/>
  <c r="AX70" i="5" s="1"/>
  <c r="AK71" i="5"/>
  <c r="AJ71" i="5" s="1"/>
  <c r="AY72" i="5"/>
  <c r="AX72" i="5" s="1"/>
  <c r="AY73" i="5"/>
  <c r="AX73" i="5" s="1"/>
  <c r="AY74" i="5"/>
  <c r="AX74" i="5" s="1"/>
  <c r="AK75" i="5"/>
  <c r="AJ75" i="5" s="1"/>
  <c r="AY76" i="5"/>
  <c r="AX76" i="5" s="1"/>
  <c r="AY77" i="5"/>
  <c r="AX77" i="5" s="1"/>
  <c r="AY78" i="5"/>
  <c r="AX78" i="5" s="1"/>
  <c r="AY79" i="5"/>
  <c r="AX79" i="5" s="1"/>
  <c r="AY80" i="5"/>
  <c r="AX80" i="5" s="1"/>
  <c r="AY81" i="5"/>
  <c r="AX81" i="5" s="1"/>
  <c r="AY90" i="5"/>
  <c r="AX90" i="5" s="1"/>
  <c r="AR91" i="5"/>
  <c r="AQ91" i="5" s="1"/>
  <c r="AK92" i="5"/>
  <c r="AJ92" i="5" s="1"/>
  <c r="AY93" i="5"/>
  <c r="AX93" i="5" s="1"/>
  <c r="AY114" i="5"/>
  <c r="AX114" i="5" s="1"/>
  <c r="AY115" i="5"/>
  <c r="AX115" i="5" s="1"/>
  <c r="AY116" i="5"/>
  <c r="AX116" i="5" s="1"/>
  <c r="AY117" i="5"/>
  <c r="AX117" i="5" s="1"/>
  <c r="AK118" i="5"/>
  <c r="AJ118" i="5" s="1"/>
  <c r="AK19" i="5"/>
  <c r="AR20" i="5"/>
  <c r="AQ20" i="5" s="1"/>
  <c r="AK21" i="5"/>
  <c r="AJ21" i="5" s="1"/>
  <c r="AK65" i="5"/>
  <c r="AJ65" i="5" s="1"/>
  <c r="AK67" i="5"/>
  <c r="AJ67" i="5" s="1"/>
  <c r="AR68" i="5"/>
  <c r="AQ68" i="5" s="1"/>
  <c r="AK87" i="5"/>
  <c r="AJ87" i="5" s="1"/>
  <c r="AY97" i="5"/>
  <c r="AX97" i="5" s="1"/>
  <c r="AR98" i="5"/>
  <c r="AQ98" i="5" s="1"/>
  <c r="W99" i="5"/>
  <c r="V99" i="5" s="1"/>
  <c r="V101" i="5"/>
  <c r="AR103" i="5"/>
  <c r="AQ103" i="5" s="1"/>
  <c r="W105" i="5"/>
  <c r="V105" i="5" s="1"/>
  <c r="AK106" i="5"/>
  <c r="AJ106" i="5" s="1"/>
  <c r="AR108" i="5"/>
  <c r="AQ108" i="5" s="1"/>
  <c r="AD109" i="5"/>
  <c r="AC109" i="5" s="1"/>
  <c r="AR111" i="5"/>
  <c r="AQ111" i="5" s="1"/>
  <c r="AY123" i="5"/>
  <c r="AX123" i="5" s="1"/>
  <c r="AR125" i="5"/>
  <c r="AQ125" i="5" s="1"/>
  <c r="AK8" i="5"/>
  <c r="AY9" i="5"/>
  <c r="AK13" i="5"/>
  <c r="AJ13" i="5" s="1"/>
  <c r="AK14" i="5"/>
  <c r="AJ14" i="5" s="1"/>
  <c r="AC15" i="5"/>
  <c r="AC16" i="5"/>
  <c r="W17" i="5"/>
  <c r="V17" i="5" s="1"/>
  <c r="AD28" i="5"/>
  <c r="AC28" i="5" s="1"/>
  <c r="AR29" i="5"/>
  <c r="AQ29" i="5" s="1"/>
  <c r="AK30" i="5"/>
  <c r="AJ30" i="5" s="1"/>
  <c r="AD31" i="5"/>
  <c r="AC31" i="5" s="1"/>
  <c r="AY36" i="5"/>
  <c r="AX36" i="5" s="1"/>
  <c r="AD37" i="5"/>
  <c r="AC37" i="5" s="1"/>
  <c r="AD38" i="5"/>
  <c r="AC38" i="5" s="1"/>
  <c r="W57" i="5"/>
  <c r="V57" i="5" s="1"/>
  <c r="AR58" i="5"/>
  <c r="AQ58" i="5" s="1"/>
  <c r="AX59" i="5"/>
  <c r="AR60" i="5"/>
  <c r="AQ60" i="5" s="1"/>
  <c r="AX61" i="5"/>
  <c r="AR95" i="5"/>
  <c r="AQ95" i="5" s="1"/>
  <c r="AR120" i="5"/>
  <c r="AQ120" i="5" s="1"/>
  <c r="AK121" i="5"/>
  <c r="AJ121" i="5" s="1"/>
  <c r="AD63" i="5"/>
  <c r="AC63" i="5" s="1"/>
  <c r="AR66" i="5"/>
  <c r="AQ66" i="5" s="1"/>
  <c r="AR100" i="5"/>
  <c r="AQ100" i="5" s="1"/>
  <c r="AY102" i="5"/>
  <c r="AX102" i="5" s="1"/>
  <c r="AY107" i="5"/>
  <c r="AX107" i="5" s="1"/>
  <c r="AR110" i="5"/>
  <c r="AQ110" i="5" s="1"/>
  <c r="S97" i="5"/>
  <c r="AN97" i="5"/>
  <c r="BB97" i="5"/>
  <c r="AU97" i="5"/>
  <c r="AG97" i="5"/>
  <c r="Z97" i="5"/>
  <c r="S102" i="5"/>
  <c r="BB102" i="5"/>
  <c r="AN102" i="5"/>
  <c r="AU102" i="5"/>
  <c r="Z102" i="5"/>
  <c r="AG102" i="5"/>
  <c r="S19" i="5"/>
  <c r="AU19" i="5"/>
  <c r="AN19" i="5"/>
  <c r="AG19" i="5"/>
  <c r="Z19" i="5"/>
  <c r="BB19" i="5"/>
  <c r="S22" i="5"/>
  <c r="AU22" i="5"/>
  <c r="Z22" i="5"/>
  <c r="AN22" i="5"/>
  <c r="BB22" i="5"/>
  <c r="AG22" i="5"/>
  <c r="S124" i="5"/>
  <c r="AU124" i="5"/>
  <c r="BB124" i="5"/>
  <c r="AG124" i="5"/>
  <c r="Z124" i="5"/>
  <c r="AN124" i="5"/>
  <c r="AD22" i="5"/>
  <c r="AC22" i="5" s="1"/>
  <c r="AD124" i="5"/>
  <c r="AC124" i="5" s="1"/>
  <c r="AD20" i="5"/>
  <c r="AC20" i="5" s="1"/>
  <c r="V103" i="5"/>
  <c r="S14" i="5"/>
  <c r="AN14" i="5"/>
  <c r="Z14" i="5"/>
  <c r="BB14" i="5"/>
  <c r="AU14" i="5"/>
  <c r="AG14" i="5"/>
  <c r="S57" i="5"/>
  <c r="AU57" i="5"/>
  <c r="BB57" i="5"/>
  <c r="AN57" i="5"/>
  <c r="AG57" i="5"/>
  <c r="Z57" i="5"/>
  <c r="S60" i="5"/>
  <c r="BB60" i="5"/>
  <c r="AN60" i="5"/>
  <c r="AG60" i="5"/>
  <c r="Z60" i="5"/>
  <c r="AU60" i="5"/>
  <c r="S84" i="5"/>
  <c r="AU84" i="5"/>
  <c r="AN84" i="5"/>
  <c r="BB84" i="5"/>
  <c r="AG84" i="5"/>
  <c r="Z84" i="5"/>
  <c r="S85" i="5"/>
  <c r="BB85" i="5"/>
  <c r="AN85" i="5"/>
  <c r="AU85" i="5"/>
  <c r="AG85" i="5"/>
  <c r="Z85" i="5"/>
  <c r="S86" i="5"/>
  <c r="AU86" i="5"/>
  <c r="BB86" i="5"/>
  <c r="AG86" i="5"/>
  <c r="Z86" i="5"/>
  <c r="AN86" i="5"/>
  <c r="S95" i="5"/>
  <c r="AU95" i="5"/>
  <c r="AN95" i="5"/>
  <c r="Z95" i="5"/>
  <c r="BB95" i="5"/>
  <c r="AG95" i="5"/>
  <c r="S112" i="5"/>
  <c r="AU112" i="5"/>
  <c r="BB112" i="5"/>
  <c r="AN112" i="5"/>
  <c r="AG112" i="5"/>
  <c r="Z112" i="5"/>
  <c r="P125" i="5"/>
  <c r="P102" i="5"/>
  <c r="AY22" i="5"/>
  <c r="AX22" i="5" s="1"/>
  <c r="AK40" i="5"/>
  <c r="AJ40" i="5" s="1"/>
  <c r="AR64" i="5"/>
  <c r="AQ64" i="5" s="1"/>
  <c r="AY84" i="5"/>
  <c r="AX84" i="5" s="1"/>
  <c r="AR85" i="5"/>
  <c r="AQ85" i="5" s="1"/>
  <c r="AK86" i="5"/>
  <c r="AJ86" i="5" s="1"/>
  <c r="AK88" i="5"/>
  <c r="AJ88" i="5" s="1"/>
  <c r="AR104" i="5"/>
  <c r="AQ104" i="5" s="1"/>
  <c r="AY112" i="5"/>
  <c r="AX112" i="5" s="1"/>
  <c r="AK124" i="5"/>
  <c r="AJ124" i="5" s="1"/>
  <c r="AR24" i="5"/>
  <c r="AQ24" i="5" s="1"/>
  <c r="AY25" i="5"/>
  <c r="AX25" i="5" s="1"/>
  <c r="AR26" i="5"/>
  <c r="AQ26" i="5" s="1"/>
  <c r="AR34" i="5"/>
  <c r="AQ34" i="5" s="1"/>
  <c r="AK42" i="5"/>
  <c r="AJ42" i="5" s="1"/>
  <c r="AR43" i="5"/>
  <c r="AQ43" i="5" s="1"/>
  <c r="AY44" i="5"/>
  <c r="AX44" i="5" s="1"/>
  <c r="AX48" i="5"/>
  <c r="AR49" i="5"/>
  <c r="AQ49" i="5" s="1"/>
  <c r="AY50" i="5"/>
  <c r="AX50" i="5" s="1"/>
  <c r="AR51" i="5"/>
  <c r="AQ51" i="5" s="1"/>
  <c r="AY52" i="5"/>
  <c r="AX52" i="5" s="1"/>
  <c r="AR53" i="5"/>
  <c r="AQ53" i="5" s="1"/>
  <c r="AY54" i="5"/>
  <c r="AX54" i="5" s="1"/>
  <c r="AR55" i="5"/>
  <c r="AQ55" i="5" s="1"/>
  <c r="AK70" i="5"/>
  <c r="AJ70" i="5" s="1"/>
  <c r="AR71" i="5"/>
  <c r="AQ71" i="5" s="1"/>
  <c r="AK72" i="5"/>
  <c r="AJ72" i="5" s="1"/>
  <c r="AR73" i="5"/>
  <c r="AQ73" i="5" s="1"/>
  <c r="AR74" i="5"/>
  <c r="AQ74" i="5" s="1"/>
  <c r="AY75" i="5"/>
  <c r="AX75" i="5" s="1"/>
  <c r="AR76" i="5"/>
  <c r="AQ76" i="5" s="1"/>
  <c r="AK77" i="5"/>
  <c r="AJ77" i="5" s="1"/>
  <c r="AR78" i="5"/>
  <c r="AQ78" i="5" s="1"/>
  <c r="AK79" i="5"/>
  <c r="AJ79" i="5" s="1"/>
  <c r="AR80" i="5"/>
  <c r="AQ80" i="5" s="1"/>
  <c r="AK81" i="5"/>
  <c r="AJ81" i="5" s="1"/>
  <c r="AK90" i="5"/>
  <c r="AJ90" i="5" s="1"/>
  <c r="AY91" i="5"/>
  <c r="AX91" i="5" s="1"/>
  <c r="AR92" i="5"/>
  <c r="AQ92" i="5" s="1"/>
  <c r="AK93" i="5"/>
  <c r="AJ93" i="5" s="1"/>
  <c r="AR114" i="5"/>
  <c r="AQ114" i="5" s="1"/>
  <c r="AK115" i="5"/>
  <c r="AJ115" i="5" s="1"/>
  <c r="AR116" i="5"/>
  <c r="AQ116" i="5" s="1"/>
  <c r="AK117" i="5"/>
  <c r="AJ117" i="5" s="1"/>
  <c r="AY118" i="5"/>
  <c r="AX118" i="5" s="1"/>
  <c r="AY19" i="5"/>
  <c r="AK20" i="5"/>
  <c r="AJ20" i="5" s="1"/>
  <c r="AD21" i="5"/>
  <c r="AC21" i="5" s="1"/>
  <c r="AR65" i="5"/>
  <c r="AQ65" i="5" s="1"/>
  <c r="AY67" i="5"/>
  <c r="AX67" i="5" s="1"/>
  <c r="AK68" i="5"/>
  <c r="AJ68" i="5" s="1"/>
  <c r="AY87" i="5"/>
  <c r="AX87" i="5" s="1"/>
  <c r="AK97" i="5"/>
  <c r="AJ97" i="5" s="1"/>
  <c r="AY98" i="5"/>
  <c r="AX98" i="5" s="1"/>
  <c r="AY99" i="5"/>
  <c r="AX99" i="5" s="1"/>
  <c r="AR101" i="5"/>
  <c r="AQ101" i="5" s="1"/>
  <c r="AY103" i="5"/>
  <c r="AX103" i="5" s="1"/>
  <c r="AK105" i="5"/>
  <c r="AJ105" i="5" s="1"/>
  <c r="AY106" i="5"/>
  <c r="AX106" i="5" s="1"/>
  <c r="AY108" i="5"/>
  <c r="AX108" i="5" s="1"/>
  <c r="AY109" i="5"/>
  <c r="AX109" i="5" s="1"/>
  <c r="AK111" i="5"/>
  <c r="AJ111" i="5" s="1"/>
  <c r="AK123" i="5"/>
  <c r="AJ123" i="5" s="1"/>
  <c r="AY125" i="5"/>
  <c r="AX125" i="5" s="1"/>
  <c r="AK7" i="5"/>
  <c r="AR8" i="5"/>
  <c r="AD9" i="5"/>
  <c r="AR13" i="5"/>
  <c r="AQ13" i="5" s="1"/>
  <c r="AY14" i="5"/>
  <c r="AX14" i="5" s="1"/>
  <c r="AR15" i="5"/>
  <c r="AQ15" i="5" s="1"/>
  <c r="AY16" i="5"/>
  <c r="AX16" i="5" s="1"/>
  <c r="AK17" i="5"/>
  <c r="AJ17" i="5" s="1"/>
  <c r="AY28" i="5"/>
  <c r="AX28" i="5" s="1"/>
  <c r="AK29" i="5"/>
  <c r="AJ29" i="5" s="1"/>
  <c r="AY30" i="5"/>
  <c r="AX30" i="5" s="1"/>
  <c r="AY31" i="5"/>
  <c r="AX31" i="5" s="1"/>
  <c r="AK36" i="5"/>
  <c r="AJ36" i="5" s="1"/>
  <c r="AK37" i="5"/>
  <c r="AJ37" i="5" s="1"/>
  <c r="AK38" i="5"/>
  <c r="AJ38" i="5" s="1"/>
  <c r="AR57" i="5"/>
  <c r="AQ57" i="5" s="1"/>
  <c r="AY58" i="5"/>
  <c r="AX58" i="5" s="1"/>
  <c r="AR59" i="5"/>
  <c r="AQ59" i="5" s="1"/>
  <c r="AY60" i="5"/>
  <c r="AX60" i="5" s="1"/>
  <c r="W61" i="5"/>
  <c r="V61" i="5" s="1"/>
  <c r="AY95" i="5"/>
  <c r="AX95" i="5" s="1"/>
  <c r="AY120" i="5"/>
  <c r="AX120" i="5" s="1"/>
  <c r="AY121" i="5"/>
  <c r="AX121" i="5" s="1"/>
  <c r="AR63" i="5"/>
  <c r="AQ63" i="5" s="1"/>
  <c r="AK66" i="5"/>
  <c r="AJ66" i="5" s="1"/>
  <c r="AY100" i="5"/>
  <c r="AX100" i="5" s="1"/>
  <c r="AK102" i="5"/>
  <c r="AJ102" i="5" s="1"/>
  <c r="AR107" i="5"/>
  <c r="AQ107" i="5" s="1"/>
  <c r="AY110" i="5"/>
  <c r="AX110" i="5" s="1"/>
  <c r="S100" i="5"/>
  <c r="BB100" i="5"/>
  <c r="AN100" i="5"/>
  <c r="AU100" i="5"/>
  <c r="Z100" i="5"/>
  <c r="AG100" i="5"/>
  <c r="S105" i="5"/>
  <c r="AU105" i="5"/>
  <c r="BB105" i="5"/>
  <c r="AN105" i="5"/>
  <c r="AG105" i="5"/>
  <c r="Z105" i="5"/>
  <c r="S63" i="5"/>
  <c r="AU63" i="5"/>
  <c r="BB63" i="5"/>
  <c r="AN63" i="5"/>
  <c r="AG63" i="5"/>
  <c r="Z63" i="5"/>
  <c r="S67" i="5"/>
  <c r="AU67" i="5"/>
  <c r="BB67" i="5"/>
  <c r="AN67" i="5"/>
  <c r="Z67" i="5"/>
  <c r="AG67" i="5"/>
  <c r="S123" i="5"/>
  <c r="S122" i="5" s="1"/>
  <c r="BB123" i="5"/>
  <c r="AN123" i="5"/>
  <c r="AU123" i="5"/>
  <c r="AG123" i="5"/>
  <c r="Z123" i="5"/>
  <c r="AD40" i="5"/>
  <c r="AC40" i="5" s="1"/>
  <c r="AY21" i="5"/>
  <c r="AX21" i="5" s="1"/>
  <c r="W97" i="5"/>
  <c r="V97" i="5" s="1"/>
  <c r="W106" i="5"/>
  <c r="V106" i="5" s="1"/>
  <c r="W100" i="5"/>
  <c r="V100" i="5" s="1"/>
  <c r="S16" i="5"/>
  <c r="AU16" i="5"/>
  <c r="AN16" i="5"/>
  <c r="Z16" i="5"/>
  <c r="BB16" i="5"/>
  <c r="AG16" i="5"/>
  <c r="S36" i="5"/>
  <c r="BB36" i="5"/>
  <c r="AN36" i="5"/>
  <c r="AU36" i="5"/>
  <c r="AG36" i="5"/>
  <c r="Z36" i="5"/>
  <c r="S59" i="5"/>
  <c r="AU59" i="5"/>
  <c r="BB59" i="5"/>
  <c r="AN59" i="5"/>
  <c r="AG59" i="5"/>
  <c r="Z59" i="5"/>
  <c r="S120" i="5"/>
  <c r="AU120" i="5"/>
  <c r="BB120" i="5"/>
  <c r="AN120" i="5"/>
  <c r="Z120" i="5"/>
  <c r="AG120" i="5"/>
  <c r="S9" i="5"/>
  <c r="Z9" i="5"/>
  <c r="AN9" i="5"/>
  <c r="BB9" i="5"/>
  <c r="AG9" i="5"/>
  <c r="AU9" i="5"/>
  <c r="S29" i="5"/>
  <c r="AU29" i="5"/>
  <c r="Z29" i="5"/>
  <c r="AG29" i="5"/>
  <c r="BB29" i="5"/>
  <c r="AN29" i="5"/>
  <c r="S30" i="5"/>
  <c r="AN30" i="5"/>
  <c r="AU30" i="5"/>
  <c r="BB30" i="5"/>
  <c r="AG30" i="5"/>
  <c r="Z30" i="5"/>
  <c r="S31" i="5"/>
  <c r="BB31" i="5"/>
  <c r="AN31" i="5"/>
  <c r="AU31" i="5"/>
  <c r="Z31" i="5"/>
  <c r="AG31" i="5"/>
  <c r="S111" i="5"/>
  <c r="BB111" i="5"/>
  <c r="AN111" i="5"/>
  <c r="AU111" i="5"/>
  <c r="AG111" i="5"/>
  <c r="Z111" i="5"/>
  <c r="S91" i="5"/>
  <c r="AU91" i="5"/>
  <c r="AN91" i="5"/>
  <c r="BB91" i="5"/>
  <c r="Z91" i="5"/>
  <c r="AG91" i="5"/>
  <c r="S90" i="5"/>
  <c r="BB90" i="5"/>
  <c r="AN90" i="5"/>
  <c r="AU90" i="5"/>
  <c r="Z90" i="5"/>
  <c r="AG90" i="5"/>
  <c r="P17" i="5"/>
  <c r="P21" i="5"/>
  <c r="P107" i="5"/>
  <c r="AR19" i="5"/>
  <c r="AY20" i="5"/>
  <c r="AX20" i="5" s="1"/>
  <c r="AR21" i="5"/>
  <c r="AQ21" i="5" s="1"/>
  <c r="AX65" i="5"/>
  <c r="AR67" i="5"/>
  <c r="AQ67" i="5" s="1"/>
  <c r="AY68" i="5"/>
  <c r="AX68" i="5" s="1"/>
  <c r="AR87" i="5"/>
  <c r="AQ87" i="5" s="1"/>
  <c r="AR97" i="5"/>
  <c r="AQ97" i="5" s="1"/>
  <c r="AK98" i="5"/>
  <c r="AJ98" i="5" s="1"/>
  <c r="AR99" i="5"/>
  <c r="AQ99" i="5" s="1"/>
  <c r="AY101" i="5"/>
  <c r="AX101" i="5" s="1"/>
  <c r="AK103" i="5"/>
  <c r="AJ103" i="5" s="1"/>
  <c r="AY105" i="5"/>
  <c r="AX105" i="5" s="1"/>
  <c r="AR106" i="5"/>
  <c r="AQ106" i="5" s="1"/>
  <c r="AK108" i="5"/>
  <c r="AJ108" i="5" s="1"/>
  <c r="AR109" i="5"/>
  <c r="AQ109" i="5" s="1"/>
  <c r="AY111" i="5"/>
  <c r="AX111" i="5" s="1"/>
  <c r="AR123" i="5"/>
  <c r="AQ123" i="5" s="1"/>
  <c r="AK125" i="5"/>
  <c r="AJ125" i="5" s="1"/>
  <c r="AR7" i="5"/>
  <c r="AY8" i="5"/>
  <c r="AR9" i="5"/>
  <c r="AD13" i="5"/>
  <c r="AC13" i="5" s="1"/>
  <c r="W14" i="5"/>
  <c r="V14" i="5" s="1"/>
  <c r="AK15" i="5"/>
  <c r="AJ15" i="5" s="1"/>
  <c r="AR16" i="5"/>
  <c r="AQ16" i="5" s="1"/>
  <c r="AY17" i="5"/>
  <c r="AX17" i="5" s="1"/>
  <c r="AR28" i="5"/>
  <c r="AQ28" i="5" s="1"/>
  <c r="AY29" i="5"/>
  <c r="AX29" i="5" s="1"/>
  <c r="AR30" i="5"/>
  <c r="AQ30" i="5" s="1"/>
  <c r="AR31" i="5"/>
  <c r="AQ31" i="5" s="1"/>
  <c r="AR36" i="5"/>
  <c r="AQ36" i="5" s="1"/>
  <c r="AY37" i="5"/>
  <c r="AX37" i="5" s="1"/>
  <c r="AR38" i="5"/>
  <c r="AQ38" i="5" s="1"/>
  <c r="AK57" i="5"/>
  <c r="AJ57" i="5" s="1"/>
  <c r="AK58" i="5"/>
  <c r="AJ58" i="5" s="1"/>
  <c r="AK59" i="5"/>
  <c r="AJ59" i="5" s="1"/>
  <c r="AK60" i="5"/>
  <c r="AJ60" i="5" s="1"/>
  <c r="AR61" i="5"/>
  <c r="AQ61" i="5" s="1"/>
  <c r="AK95" i="5"/>
  <c r="AJ95" i="5" s="1"/>
  <c r="AK120" i="5"/>
  <c r="AJ120" i="5" s="1"/>
  <c r="AR121" i="5"/>
  <c r="AQ121" i="5" s="1"/>
  <c r="AY63" i="5"/>
  <c r="AX63" i="5" s="1"/>
  <c r="AY66" i="5"/>
  <c r="AX66" i="5" s="1"/>
  <c r="AK100" i="5"/>
  <c r="AJ100" i="5" s="1"/>
  <c r="AR102" i="5"/>
  <c r="AQ102" i="5" s="1"/>
  <c r="AK107" i="5"/>
  <c r="AJ107" i="5" s="1"/>
  <c r="AK110" i="5"/>
  <c r="AJ110" i="5" s="1"/>
  <c r="S99" i="5"/>
  <c r="AU99" i="5"/>
  <c r="AN99" i="5"/>
  <c r="BB99" i="5"/>
  <c r="AG99" i="5"/>
  <c r="Z99" i="5"/>
  <c r="S104" i="5"/>
  <c r="AU104" i="5"/>
  <c r="BB104" i="5"/>
  <c r="AN104" i="5"/>
  <c r="Z104" i="5"/>
  <c r="AG104" i="5"/>
  <c r="S40" i="5"/>
  <c r="AU40" i="5"/>
  <c r="BB40" i="5"/>
  <c r="AG40" i="5"/>
  <c r="AN40" i="5"/>
  <c r="Z40" i="5"/>
  <c r="S65" i="5"/>
  <c r="AU65" i="5"/>
  <c r="BB65" i="5"/>
  <c r="AN65" i="5"/>
  <c r="AG65" i="5"/>
  <c r="Z65" i="5"/>
  <c r="S109" i="5"/>
  <c r="BB109" i="5"/>
  <c r="AN109" i="5"/>
  <c r="AU109" i="5"/>
  <c r="AG109" i="5"/>
  <c r="Z109" i="5"/>
  <c r="W64" i="5"/>
  <c r="V64" i="5" s="1"/>
  <c r="AD104" i="5"/>
  <c r="AC104" i="5" s="1"/>
  <c r="W67" i="5"/>
  <c r="V67" i="5" s="1"/>
  <c r="AK99" i="5"/>
  <c r="AJ99" i="5" s="1"/>
  <c r="AD108" i="5"/>
  <c r="AC108" i="5" s="1"/>
  <c r="AD123" i="5"/>
  <c r="AC123" i="5" s="1"/>
  <c r="AD102" i="5"/>
  <c r="AC102" i="5" s="1"/>
  <c r="S37" i="5"/>
  <c r="AU37" i="5"/>
  <c r="AN37" i="5"/>
  <c r="AG37" i="5"/>
  <c r="BB37" i="5"/>
  <c r="Z37" i="5"/>
  <c r="S110" i="5"/>
  <c r="AU110" i="5"/>
  <c r="BB110" i="5"/>
  <c r="AN110" i="5"/>
  <c r="AG110" i="5"/>
  <c r="Z110" i="5"/>
  <c r="S8" i="5"/>
  <c r="AU8" i="5"/>
  <c r="Z8" i="5"/>
  <c r="AG8" i="5"/>
  <c r="BB8" i="5"/>
  <c r="AN8" i="5"/>
  <c r="S28" i="5"/>
  <c r="BB28" i="5"/>
  <c r="AN28" i="5"/>
  <c r="AG28" i="5"/>
  <c r="Z28" i="5"/>
  <c r="AU28" i="5"/>
  <c r="S7" i="5"/>
  <c r="Z7" i="5"/>
  <c r="AN7" i="5"/>
  <c r="BB7" i="5"/>
  <c r="AG7" i="5"/>
  <c r="AU7" i="5"/>
  <c r="S24" i="5"/>
  <c r="AN24" i="5"/>
  <c r="BB24" i="5"/>
  <c r="AG24" i="5"/>
  <c r="Z24" i="5"/>
  <c r="AU24" i="5"/>
  <c r="S25" i="5"/>
  <c r="AU25" i="5"/>
  <c r="AN25" i="5"/>
  <c r="AG25" i="5"/>
  <c r="BB25" i="5"/>
  <c r="Z25" i="5"/>
  <c r="S26" i="5"/>
  <c r="AN26" i="5"/>
  <c r="BB26" i="5"/>
  <c r="AG26" i="5"/>
  <c r="AU26" i="5"/>
  <c r="Z26" i="5"/>
  <c r="S42" i="5"/>
  <c r="AU42" i="5"/>
  <c r="BB42" i="5"/>
  <c r="AN42" i="5"/>
  <c r="Z42" i="5"/>
  <c r="AG42" i="5"/>
  <c r="S43" i="5"/>
  <c r="BB43" i="5"/>
  <c r="AN43" i="5"/>
  <c r="AG43" i="5"/>
  <c r="AU43" i="5"/>
  <c r="Z43" i="5"/>
  <c r="S44" i="5"/>
  <c r="AU44" i="5"/>
  <c r="AN44" i="5"/>
  <c r="Z44" i="5"/>
  <c r="AG44" i="5"/>
  <c r="BB44" i="5"/>
  <c r="S70" i="5"/>
  <c r="BB70" i="5"/>
  <c r="AU70" i="5"/>
  <c r="AG70" i="5"/>
  <c r="AN70" i="5"/>
  <c r="Z70" i="5"/>
  <c r="S71" i="5"/>
  <c r="BB71" i="5"/>
  <c r="AN71" i="5"/>
  <c r="AU71" i="5"/>
  <c r="Z71" i="5"/>
  <c r="AG71" i="5"/>
  <c r="S72" i="5"/>
  <c r="AU72" i="5"/>
  <c r="AN72" i="5"/>
  <c r="BB72" i="5"/>
  <c r="AG72" i="5"/>
  <c r="Z72" i="5"/>
  <c r="S73" i="5"/>
  <c r="BB73" i="5"/>
  <c r="AN73" i="5"/>
  <c r="AU73" i="5"/>
  <c r="AG73" i="5"/>
  <c r="Z73" i="5"/>
  <c r="S74" i="5"/>
  <c r="BB74" i="5"/>
  <c r="AN74" i="5"/>
  <c r="AU74" i="5"/>
  <c r="AG74" i="5"/>
  <c r="Z74" i="5"/>
  <c r="S75" i="5"/>
  <c r="AU75" i="5"/>
  <c r="AN75" i="5"/>
  <c r="AG75" i="5"/>
  <c r="Z75" i="5"/>
  <c r="BB75" i="5"/>
  <c r="S76" i="5"/>
  <c r="BB76" i="5"/>
  <c r="AN76" i="5"/>
  <c r="AU76" i="5"/>
  <c r="AG76" i="5"/>
  <c r="Z76" i="5"/>
  <c r="S77" i="5"/>
  <c r="AU77" i="5"/>
  <c r="AN77" i="5"/>
  <c r="AG77" i="5"/>
  <c r="Z77" i="5"/>
  <c r="BB77" i="5"/>
  <c r="S78" i="5"/>
  <c r="BB78" i="5"/>
  <c r="AN78" i="5"/>
  <c r="AU78" i="5"/>
  <c r="Z78" i="5"/>
  <c r="AG78" i="5"/>
  <c r="S79" i="5"/>
  <c r="BB79" i="5"/>
  <c r="AU79" i="5"/>
  <c r="AN79" i="5"/>
  <c r="AG79" i="5"/>
  <c r="Z79" i="5"/>
  <c r="S80" i="5"/>
  <c r="AU80" i="5"/>
  <c r="BB80" i="5"/>
  <c r="AN80" i="5"/>
  <c r="Z80" i="5"/>
  <c r="AG80" i="5"/>
  <c r="S81" i="5"/>
  <c r="AN81" i="5"/>
  <c r="BB81" i="5"/>
  <c r="AU81" i="5"/>
  <c r="AG81" i="5"/>
  <c r="Z81" i="5"/>
  <c r="S92" i="5"/>
  <c r="S89" i="5" s="1"/>
  <c r="BB92" i="5"/>
  <c r="AN92" i="5"/>
  <c r="AU92" i="5"/>
  <c r="AG92" i="5"/>
  <c r="Z92" i="5"/>
  <c r="S93" i="5"/>
  <c r="AU93" i="5"/>
  <c r="BB93" i="5"/>
  <c r="Z93" i="5"/>
  <c r="AN93" i="5"/>
  <c r="AG93" i="5"/>
  <c r="P36" i="5"/>
  <c r="P79" i="5"/>
  <c r="P22" i="5"/>
  <c r="P108" i="5"/>
  <c r="W22" i="5"/>
  <c r="V22" i="5" s="1"/>
  <c r="AY40" i="5"/>
  <c r="AX40" i="5" s="1"/>
  <c r="AK64" i="5"/>
  <c r="AJ64" i="5" s="1"/>
  <c r="W84" i="5"/>
  <c r="V84" i="5" s="1"/>
  <c r="AD85" i="5"/>
  <c r="AC85" i="5" s="1"/>
  <c r="W86" i="5"/>
  <c r="V86" i="5" s="1"/>
  <c r="W88" i="5"/>
  <c r="V88" i="5" s="1"/>
  <c r="W104" i="5"/>
  <c r="V104" i="5" s="1"/>
  <c r="W112" i="5"/>
  <c r="V112" i="5" s="1"/>
  <c r="W124" i="5"/>
  <c r="V124" i="5" s="1"/>
  <c r="W24" i="5"/>
  <c r="V24" i="5" s="1"/>
  <c r="W25" i="5"/>
  <c r="V25" i="5" s="1"/>
  <c r="AD26" i="5"/>
  <c r="AC26" i="5" s="1"/>
  <c r="W34" i="5"/>
  <c r="V34" i="5" s="1"/>
  <c r="W42" i="5"/>
  <c r="V42" i="5" s="1"/>
  <c r="AD43" i="5"/>
  <c r="AC43" i="5" s="1"/>
  <c r="W44" i="5"/>
  <c r="V44" i="5" s="1"/>
  <c r="AD48" i="5"/>
  <c r="AC48" i="5" s="1"/>
  <c r="W49" i="5"/>
  <c r="V49" i="5" s="1"/>
  <c r="AD50" i="5"/>
  <c r="AC50" i="5" s="1"/>
  <c r="W51" i="5"/>
  <c r="V51" i="5" s="1"/>
  <c r="W52" i="5"/>
  <c r="V52" i="5" s="1"/>
  <c r="AY53" i="5"/>
  <c r="AX53" i="5" s="1"/>
  <c r="W54" i="5"/>
  <c r="V54" i="5" s="1"/>
  <c r="AD55" i="5"/>
  <c r="AC55" i="5" s="1"/>
  <c r="W70" i="5"/>
  <c r="V70" i="5" s="1"/>
  <c r="AD71" i="5"/>
  <c r="AC71" i="5" s="1"/>
  <c r="AR72" i="5"/>
  <c r="AQ72" i="5" s="1"/>
  <c r="W73" i="5"/>
  <c r="V73" i="5" s="1"/>
  <c r="AD74" i="5"/>
  <c r="AC74" i="5" s="1"/>
  <c r="W75" i="5"/>
  <c r="V75" i="5" s="1"/>
  <c r="AD76" i="5"/>
  <c r="AC76" i="5" s="1"/>
  <c r="W77" i="5"/>
  <c r="V77" i="5" s="1"/>
  <c r="AD78" i="5"/>
  <c r="AC78" i="5" s="1"/>
  <c r="W79" i="5"/>
  <c r="V79" i="5" s="1"/>
  <c r="AK80" i="5"/>
  <c r="AJ80" i="5" s="1"/>
  <c r="W81" i="5"/>
  <c r="V81" i="5" s="1"/>
  <c r="W90" i="5"/>
  <c r="V90" i="5" s="1"/>
  <c r="AD91" i="5"/>
  <c r="AC91" i="5" s="1"/>
  <c r="AD92" i="5"/>
  <c r="AC92" i="5" s="1"/>
  <c r="W93" i="5"/>
  <c r="V93" i="5" s="1"/>
  <c r="W114" i="5"/>
  <c r="V114" i="5" s="1"/>
  <c r="AR115" i="5"/>
  <c r="AQ115" i="5" s="1"/>
  <c r="W116" i="5"/>
  <c r="V116" i="5" s="1"/>
  <c r="W117" i="5"/>
  <c r="V117" i="5" s="1"/>
  <c r="W118" i="5"/>
  <c r="V118" i="5" s="1"/>
  <c r="S113" i="5"/>
  <c r="P55" i="5"/>
  <c r="P88" i="5"/>
  <c r="P123" i="5"/>
  <c r="P75" i="5"/>
  <c r="P9" i="5"/>
  <c r="P28" i="5"/>
  <c r="P38" i="5"/>
  <c r="P95" i="5"/>
  <c r="P26" i="5"/>
  <c r="P70" i="5"/>
  <c r="P71" i="5"/>
  <c r="P114" i="5"/>
  <c r="P40" i="5"/>
  <c r="P68" i="5"/>
  <c r="P97" i="5"/>
  <c r="P103" i="5"/>
  <c r="P109" i="5"/>
  <c r="S47" i="5"/>
  <c r="P51" i="5"/>
  <c r="P50" i="5"/>
  <c r="P53" i="5"/>
  <c r="P54" i="5"/>
  <c r="S27" i="5"/>
  <c r="S6" i="5"/>
  <c r="S23" i="5"/>
  <c r="S41" i="5"/>
  <c r="P25" i="5"/>
  <c r="P80" i="5"/>
  <c r="P13" i="5"/>
  <c r="P29" i="5"/>
  <c r="P57" i="5"/>
  <c r="P120" i="5"/>
  <c r="P34" i="5"/>
  <c r="P72" i="5"/>
  <c r="P116" i="5"/>
  <c r="P73" i="5"/>
  <c r="P117" i="5"/>
  <c r="P63" i="5"/>
  <c r="P84" i="5"/>
  <c r="P98" i="5"/>
  <c r="P104" i="5"/>
  <c r="P110" i="5"/>
  <c r="S18" i="5"/>
  <c r="S39" i="5"/>
  <c r="P44" i="5"/>
  <c r="P91" i="5"/>
  <c r="P14" i="5"/>
  <c r="P30" i="5"/>
  <c r="P58" i="5"/>
  <c r="P121" i="5"/>
  <c r="P43" i="5"/>
  <c r="P74" i="5"/>
  <c r="P118" i="5"/>
  <c r="P76" i="5"/>
  <c r="P19" i="5"/>
  <c r="P64" i="5"/>
  <c r="P85" i="5"/>
  <c r="P99" i="5"/>
  <c r="P105" i="5"/>
  <c r="P111" i="5"/>
  <c r="S33" i="5"/>
  <c r="P52" i="5"/>
  <c r="P87" i="5"/>
  <c r="S12" i="5"/>
  <c r="S35" i="5"/>
  <c r="S119" i="5"/>
  <c r="P49" i="5"/>
  <c r="P115" i="5"/>
  <c r="P15" i="5"/>
  <c r="P31" i="5"/>
  <c r="P59" i="5"/>
  <c r="P124" i="5"/>
  <c r="P48" i="5"/>
  <c r="P77" i="5"/>
  <c r="P42" i="5"/>
  <c r="P78" i="5"/>
  <c r="P20" i="5"/>
  <c r="P65" i="5"/>
  <c r="P86" i="5"/>
  <c r="P100" i="5"/>
  <c r="P106" i="5"/>
  <c r="P112" i="5"/>
  <c r="P6" i="5"/>
  <c r="R52" i="3"/>
  <c r="U44" i="3"/>
  <c r="R44" i="3"/>
  <c r="U105" i="3"/>
  <c r="U111" i="3"/>
  <c r="T7" i="3"/>
  <c r="T21" i="3"/>
  <c r="R68" i="3"/>
  <c r="R16" i="3"/>
  <c r="T26" i="3"/>
  <c r="R31" i="3"/>
  <c r="X36" i="3"/>
  <c r="U68" i="3"/>
  <c r="R73" i="3"/>
  <c r="R111" i="3"/>
  <c r="U16" i="3"/>
  <c r="W30" i="2"/>
  <c r="Z30" i="2" s="1"/>
  <c r="Q28" i="2"/>
  <c r="T28" i="2" s="1"/>
  <c r="S28" i="2"/>
  <c r="V28" i="2" s="1"/>
  <c r="Q25" i="2"/>
  <c r="T25" i="2" s="1"/>
  <c r="S91" i="2"/>
  <c r="R91" i="2" s="1"/>
  <c r="Q15" i="2"/>
  <c r="T15" i="2" s="1"/>
  <c r="S25" i="2"/>
  <c r="S105" i="2"/>
  <c r="V105" i="2" s="1"/>
  <c r="Y13" i="2"/>
  <c r="AB13" i="2" s="1"/>
  <c r="S43" i="2"/>
  <c r="V43" i="2" s="1"/>
  <c r="U43" i="2" s="1"/>
  <c r="U111" i="2"/>
  <c r="Q17" i="2"/>
  <c r="T17" i="2" s="1"/>
  <c r="S84" i="2"/>
  <c r="V84" i="2" s="1"/>
  <c r="Q118" i="2"/>
  <c r="T118" i="2" s="1"/>
  <c r="W17" i="2"/>
  <c r="Z17" i="2" s="1"/>
  <c r="Q22" i="2"/>
  <c r="T22" i="2" s="1"/>
  <c r="S30" i="2"/>
  <c r="R30" i="2" s="1"/>
  <c r="R20" i="2"/>
  <c r="U99" i="2"/>
  <c r="Q109" i="2"/>
  <c r="T109" i="2" s="1"/>
  <c r="W15" i="2"/>
  <c r="Z15" i="2" s="1"/>
  <c r="S37" i="2"/>
  <c r="V37" i="2" s="1"/>
  <c r="U37" i="2" s="1"/>
  <c r="Q68" i="2"/>
  <c r="T68" i="2" s="1"/>
  <c r="U68" i="2" s="1"/>
  <c r="S80" i="2"/>
  <c r="S88" i="2"/>
  <c r="S97" i="2"/>
  <c r="R97" i="2" s="1"/>
  <c r="S103" i="2"/>
  <c r="R103" i="2" s="1"/>
  <c r="S116" i="2"/>
  <c r="V116" i="2" s="1"/>
  <c r="U116" i="2" s="1"/>
  <c r="S14" i="2"/>
  <c r="V14" i="2" s="1"/>
  <c r="Q34" i="2"/>
  <c r="T34" i="2" s="1"/>
  <c r="Q78" i="2"/>
  <c r="T78" i="2" s="1"/>
  <c r="Q86" i="2"/>
  <c r="T86" i="2" s="1"/>
  <c r="Q93" i="2"/>
  <c r="T93" i="2" s="1"/>
  <c r="Q101" i="2"/>
  <c r="T101" i="2" s="1"/>
  <c r="Q107" i="2"/>
  <c r="T107" i="2" s="1"/>
  <c r="Q114" i="2"/>
  <c r="T114" i="2" s="1"/>
  <c r="Q121" i="2"/>
  <c r="T121" i="2" s="1"/>
  <c r="U121" i="2" s="1"/>
  <c r="Q124" i="2"/>
  <c r="T124" i="2" s="1"/>
  <c r="Y88" i="2"/>
  <c r="AB88" i="2" s="1"/>
  <c r="Q13" i="2"/>
  <c r="T13" i="2" s="1"/>
  <c r="U13" i="2" s="1"/>
  <c r="Y14" i="2"/>
  <c r="AB14" i="2" s="1"/>
  <c r="Q20" i="2"/>
  <c r="T20" i="2" s="1"/>
  <c r="Q38" i="2"/>
  <c r="T38" i="2" s="1"/>
  <c r="U38" i="2" s="1"/>
  <c r="W8" i="2"/>
  <c r="Z8" i="2" s="1"/>
  <c r="AB16" i="2"/>
  <c r="AB24" i="2"/>
  <c r="AB8" i="2"/>
  <c r="AA8" i="2" s="1"/>
  <c r="U28" i="2"/>
  <c r="AB21" i="2"/>
  <c r="AB31" i="2"/>
  <c r="Z14" i="2"/>
  <c r="AB19" i="2"/>
  <c r="AB22" i="2"/>
  <c r="AB29" i="2"/>
  <c r="AB26" i="2"/>
  <c r="AB7" i="2"/>
  <c r="AB17" i="2"/>
  <c r="S8" i="2"/>
  <c r="W13" i="2"/>
  <c r="Z13" i="2" s="1"/>
  <c r="S17" i="2"/>
  <c r="W37" i="2"/>
  <c r="Z37" i="2" s="1"/>
  <c r="Y40" i="2"/>
  <c r="S40" i="2"/>
  <c r="W40" i="2"/>
  <c r="Z40" i="2" s="1"/>
  <c r="Q40" i="2"/>
  <c r="T40" i="2" s="1"/>
  <c r="Y54" i="2"/>
  <c r="S54" i="2"/>
  <c r="W54" i="2"/>
  <c r="Z54" i="2" s="1"/>
  <c r="Q54" i="2"/>
  <c r="T54" i="2" s="1"/>
  <c r="Y64" i="2"/>
  <c r="S64" i="2"/>
  <c r="W64" i="2"/>
  <c r="Z64" i="2" s="1"/>
  <c r="Q64" i="2"/>
  <c r="T64" i="2" s="1"/>
  <c r="V66" i="2"/>
  <c r="V71" i="2"/>
  <c r="U73" i="2"/>
  <c r="V78" i="2"/>
  <c r="S22" i="2"/>
  <c r="W28" i="2"/>
  <c r="Z28" i="2" s="1"/>
  <c r="AA28" i="2" s="1"/>
  <c r="S9" i="2"/>
  <c r="Y9" i="2"/>
  <c r="Q14" i="2"/>
  <c r="V15" i="2"/>
  <c r="AB15" i="2"/>
  <c r="Q19" i="2"/>
  <c r="T19" i="2" s="1"/>
  <c r="W19" i="2"/>
  <c r="Z19" i="2" s="1"/>
  <c r="V20" i="2"/>
  <c r="Q24" i="2"/>
  <c r="T24" i="2" s="1"/>
  <c r="W24" i="2"/>
  <c r="Z24" i="2" s="1"/>
  <c r="V25" i="2"/>
  <c r="Q29" i="2"/>
  <c r="T29" i="2" s="1"/>
  <c r="W29" i="2"/>
  <c r="Z29" i="2" s="1"/>
  <c r="V34" i="2"/>
  <c r="S36" i="2"/>
  <c r="Y36" i="2"/>
  <c r="Y50" i="2"/>
  <c r="Y51" i="2"/>
  <c r="Y53" i="2"/>
  <c r="S53" i="2"/>
  <c r="Y63" i="2"/>
  <c r="S63" i="2"/>
  <c r="W68" i="2"/>
  <c r="Z68" i="2" s="1"/>
  <c r="W73" i="2"/>
  <c r="Z73" i="2" s="1"/>
  <c r="Y76" i="2"/>
  <c r="W79" i="2"/>
  <c r="Z79" i="2" s="1"/>
  <c r="Q79" i="2"/>
  <c r="T79" i="2" s="1"/>
  <c r="Y79" i="2"/>
  <c r="S79" i="2"/>
  <c r="Y80" i="2"/>
  <c r="Y100" i="2"/>
  <c r="S100" i="2"/>
  <c r="W100" i="2"/>
  <c r="Z100" i="2" s="1"/>
  <c r="Q100" i="2"/>
  <c r="T100" i="2" s="1"/>
  <c r="W111" i="2"/>
  <c r="Z111" i="2" s="1"/>
  <c r="W34" i="2"/>
  <c r="Z34" i="2" s="1"/>
  <c r="Y37" i="2"/>
  <c r="W43" i="2"/>
  <c r="Z43" i="2" s="1"/>
  <c r="Y52" i="2"/>
  <c r="W57" i="2"/>
  <c r="Z57" i="2" s="1"/>
  <c r="Y60" i="2"/>
  <c r="W61" i="2"/>
  <c r="Z61" i="2" s="1"/>
  <c r="Y66" i="2"/>
  <c r="Y67" i="2"/>
  <c r="Y71" i="2"/>
  <c r="Y72" i="2"/>
  <c r="Y75" i="2"/>
  <c r="S75" i="2"/>
  <c r="W75" i="2"/>
  <c r="Z75" i="2" s="1"/>
  <c r="Q75" i="2"/>
  <c r="T75" i="2" s="1"/>
  <c r="Y81" i="2"/>
  <c r="S81" i="2"/>
  <c r="W81" i="2"/>
  <c r="Z81" i="2" s="1"/>
  <c r="Q81" i="2"/>
  <c r="T81" i="2" s="1"/>
  <c r="Y109" i="2"/>
  <c r="W121" i="2"/>
  <c r="Z121" i="2" s="1"/>
  <c r="Q7" i="2"/>
  <c r="T7" i="2" s="1"/>
  <c r="W7" i="2"/>
  <c r="Z7" i="2" s="1"/>
  <c r="Q16" i="2"/>
  <c r="T16" i="2" s="1"/>
  <c r="W16" i="2"/>
  <c r="Z16" i="2" s="1"/>
  <c r="S19" i="2"/>
  <c r="Q21" i="2"/>
  <c r="T21" i="2" s="1"/>
  <c r="W21" i="2"/>
  <c r="Z21" i="2" s="1"/>
  <c r="S24" i="2"/>
  <c r="Q26" i="2"/>
  <c r="T26" i="2" s="1"/>
  <c r="W26" i="2"/>
  <c r="Z26" i="2" s="1"/>
  <c r="S29" i="2"/>
  <c r="Q31" i="2"/>
  <c r="T31" i="2" s="1"/>
  <c r="W31" i="2"/>
  <c r="Z31" i="2" s="1"/>
  <c r="Y42" i="2"/>
  <c r="W51" i="2"/>
  <c r="Z51" i="2" s="1"/>
  <c r="Y59" i="2"/>
  <c r="S59" i="2"/>
  <c r="W59" i="2"/>
  <c r="Z59" i="2" s="1"/>
  <c r="Q59" i="2"/>
  <c r="T59" i="2" s="1"/>
  <c r="V61" i="2"/>
  <c r="Y74" i="2"/>
  <c r="S74" i="2"/>
  <c r="Y108" i="2"/>
  <c r="W110" i="2"/>
  <c r="Z110" i="2" s="1"/>
  <c r="W120" i="2"/>
  <c r="Z120" i="2" s="1"/>
  <c r="Y20" i="2"/>
  <c r="W22" i="2"/>
  <c r="Z22" i="2" s="1"/>
  <c r="Y25" i="2"/>
  <c r="Y30" i="2"/>
  <c r="Y34" i="2"/>
  <c r="Y38" i="2"/>
  <c r="Y44" i="2"/>
  <c r="S44" i="2"/>
  <c r="Y49" i="2"/>
  <c r="W50" i="2"/>
  <c r="Z50" i="2" s="1"/>
  <c r="W53" i="2"/>
  <c r="Z53" i="2" s="1"/>
  <c r="Y58" i="2"/>
  <c r="S58" i="2"/>
  <c r="W63" i="2"/>
  <c r="Z63" i="2" s="1"/>
  <c r="W67" i="2"/>
  <c r="Z67" i="2" s="1"/>
  <c r="W72" i="2"/>
  <c r="Z72" i="2" s="1"/>
  <c r="Q74" i="2"/>
  <c r="T74" i="2" s="1"/>
  <c r="W124" i="2"/>
  <c r="Z124" i="2" s="1"/>
  <c r="Y118" i="2"/>
  <c r="W114" i="2"/>
  <c r="Z114" i="2" s="1"/>
  <c r="W109" i="2"/>
  <c r="Z109" i="2" s="1"/>
  <c r="Y107" i="2"/>
  <c r="W103" i="2"/>
  <c r="Z103" i="2" s="1"/>
  <c r="Y101" i="2"/>
  <c r="W97" i="2"/>
  <c r="Z97" i="2" s="1"/>
  <c r="W93" i="2"/>
  <c r="Z93" i="2" s="1"/>
  <c r="Y91" i="2"/>
  <c r="W88" i="2"/>
  <c r="Z88" i="2" s="1"/>
  <c r="Y86" i="2"/>
  <c r="W123" i="2"/>
  <c r="Z123" i="2" s="1"/>
  <c r="Y121" i="2"/>
  <c r="W118" i="2"/>
  <c r="Z118" i="2" s="1"/>
  <c r="Y116" i="2"/>
  <c r="Y111" i="2"/>
  <c r="W107" i="2"/>
  <c r="Z107" i="2" s="1"/>
  <c r="Y105" i="2"/>
  <c r="W101" i="2"/>
  <c r="Z101" i="2" s="1"/>
  <c r="Y99" i="2"/>
  <c r="W91" i="2"/>
  <c r="Z91" i="2" s="1"/>
  <c r="W86" i="2"/>
  <c r="Z86" i="2" s="1"/>
  <c r="Y84" i="2"/>
  <c r="W99" i="2"/>
  <c r="Z99" i="2" s="1"/>
  <c r="W80" i="2"/>
  <c r="Z80" i="2" s="1"/>
  <c r="Y97" i="2"/>
  <c r="Y78" i="2"/>
  <c r="Y124" i="2"/>
  <c r="W116" i="2"/>
  <c r="Z116" i="2" s="1"/>
  <c r="W105" i="2"/>
  <c r="Z105" i="2" s="1"/>
  <c r="Y93" i="2"/>
  <c r="W84" i="2"/>
  <c r="Z84" i="2" s="1"/>
  <c r="W78" i="2"/>
  <c r="Z78" i="2" s="1"/>
  <c r="W76" i="2"/>
  <c r="Z76" i="2" s="1"/>
  <c r="W70" i="2"/>
  <c r="Z70" i="2" s="1"/>
  <c r="W65" i="2"/>
  <c r="Z65" i="2" s="1"/>
  <c r="W60" i="2"/>
  <c r="Z60" i="2" s="1"/>
  <c r="W55" i="2"/>
  <c r="Z55" i="2" s="1"/>
  <c r="W49" i="2"/>
  <c r="Z49" i="2" s="1"/>
  <c r="Y114" i="2"/>
  <c r="Y103" i="2"/>
  <c r="Y73" i="2"/>
  <c r="Y68" i="2"/>
  <c r="Y43" i="2"/>
  <c r="S7" i="2"/>
  <c r="Q9" i="2"/>
  <c r="T9" i="2" s="1"/>
  <c r="S16" i="2"/>
  <c r="S21" i="2"/>
  <c r="S26" i="2"/>
  <c r="S31" i="2"/>
  <c r="Q36" i="2"/>
  <c r="T36" i="2" s="1"/>
  <c r="W38" i="2"/>
  <c r="Z38" i="2" s="1"/>
  <c r="W42" i="2"/>
  <c r="Z42" i="2" s="1"/>
  <c r="Q44" i="2"/>
  <c r="T44" i="2" s="1"/>
  <c r="Y48" i="2"/>
  <c r="S48" i="2"/>
  <c r="W48" i="2"/>
  <c r="Z48" i="2" s="1"/>
  <c r="Q48" i="2"/>
  <c r="T48" i="2" s="1"/>
  <c r="V50" i="2"/>
  <c r="W52" i="2"/>
  <c r="Z52" i="2" s="1"/>
  <c r="Y55" i="2"/>
  <c r="Y57" i="2"/>
  <c r="Q58" i="2"/>
  <c r="T58" i="2" s="1"/>
  <c r="Y61" i="2"/>
  <c r="Y65" i="2"/>
  <c r="W66" i="2"/>
  <c r="Z66" i="2" s="1"/>
  <c r="Y70" i="2"/>
  <c r="W71" i="2"/>
  <c r="Z71" i="2" s="1"/>
  <c r="R73" i="2"/>
  <c r="Y87" i="2"/>
  <c r="Y90" i="2"/>
  <c r="S90" i="2"/>
  <c r="W90" i="2"/>
  <c r="Z90" i="2" s="1"/>
  <c r="Q90" i="2"/>
  <c r="T90" i="2" s="1"/>
  <c r="V114" i="2"/>
  <c r="S52" i="2"/>
  <c r="S57" i="2"/>
  <c r="U84" i="2"/>
  <c r="V93" i="2"/>
  <c r="Y102" i="2"/>
  <c r="U105" i="2"/>
  <c r="Y112" i="2"/>
  <c r="S112" i="2"/>
  <c r="W112" i="2"/>
  <c r="Z112" i="2" s="1"/>
  <c r="Q112" i="2"/>
  <c r="T112" i="2" s="1"/>
  <c r="Y123" i="2"/>
  <c r="R124" i="2"/>
  <c r="V124" i="2"/>
  <c r="Y77" i="2"/>
  <c r="S77" i="2"/>
  <c r="W77" i="2"/>
  <c r="Z77" i="2" s="1"/>
  <c r="Q77" i="2"/>
  <c r="T77" i="2" s="1"/>
  <c r="V80" i="2"/>
  <c r="U80" i="2" s="1"/>
  <c r="R80" i="2"/>
  <c r="Y92" i="2"/>
  <c r="W104" i="2"/>
  <c r="Z104" i="2" s="1"/>
  <c r="W115" i="2"/>
  <c r="Z115" i="2" s="1"/>
  <c r="Q50" i="2"/>
  <c r="T50" i="2" s="1"/>
  <c r="Q61" i="2"/>
  <c r="T61" i="2" s="1"/>
  <c r="Q66" i="2"/>
  <c r="T66" i="2" s="1"/>
  <c r="Q71" i="2"/>
  <c r="T71" i="2" s="1"/>
  <c r="Y85" i="2"/>
  <c r="S85" i="2"/>
  <c r="W85" i="2"/>
  <c r="Z85" i="2" s="1"/>
  <c r="Q85" i="2"/>
  <c r="T85" i="2" s="1"/>
  <c r="Y95" i="2"/>
  <c r="S95" i="2"/>
  <c r="W95" i="2"/>
  <c r="Z95" i="2" s="1"/>
  <c r="Q95" i="2"/>
  <c r="T95" i="2" s="1"/>
  <c r="Y106" i="2"/>
  <c r="S106" i="2"/>
  <c r="W106" i="2"/>
  <c r="Z106" i="2" s="1"/>
  <c r="Q106" i="2"/>
  <c r="T106" i="2" s="1"/>
  <c r="Y117" i="2"/>
  <c r="S117" i="2"/>
  <c r="W117" i="2"/>
  <c r="Z117" i="2" s="1"/>
  <c r="Q117" i="2"/>
  <c r="T117" i="2" s="1"/>
  <c r="W125" i="2"/>
  <c r="Z125" i="2" s="1"/>
  <c r="Q42" i="2"/>
  <c r="S49" i="2"/>
  <c r="Q51" i="2"/>
  <c r="S55" i="2"/>
  <c r="S60" i="2"/>
  <c r="S65" i="2"/>
  <c r="Q67" i="2"/>
  <c r="T67" i="2" s="1"/>
  <c r="U67" i="2" s="1"/>
  <c r="S70" i="2"/>
  <c r="Q72" i="2"/>
  <c r="S76" i="2"/>
  <c r="R88" i="2"/>
  <c r="V88" i="2"/>
  <c r="U88" i="2" s="1"/>
  <c r="W98" i="2"/>
  <c r="Z98" i="2" s="1"/>
  <c r="V109" i="2"/>
  <c r="R84" i="2"/>
  <c r="V86" i="2"/>
  <c r="V91" i="2"/>
  <c r="U91" i="2" s="1"/>
  <c r="S98" i="2"/>
  <c r="Y98" i="2"/>
  <c r="R99" i="2"/>
  <c r="V101" i="2"/>
  <c r="S104" i="2"/>
  <c r="Y104" i="2"/>
  <c r="R105" i="2"/>
  <c r="V107" i="2"/>
  <c r="S110" i="2"/>
  <c r="Y110" i="2"/>
  <c r="R111" i="2"/>
  <c r="S115" i="2"/>
  <c r="Y115" i="2"/>
  <c r="V118" i="2"/>
  <c r="S120" i="2"/>
  <c r="Y120" i="2"/>
  <c r="S125" i="2"/>
  <c r="Y125" i="2"/>
  <c r="Q87" i="2"/>
  <c r="T87" i="2" s="1"/>
  <c r="W87" i="2"/>
  <c r="Z87" i="2" s="1"/>
  <c r="Q92" i="2"/>
  <c r="T92" i="2" s="1"/>
  <c r="W92" i="2"/>
  <c r="Z92" i="2" s="1"/>
  <c r="Q102" i="2"/>
  <c r="T102" i="2" s="1"/>
  <c r="W102" i="2"/>
  <c r="Z102" i="2" s="1"/>
  <c r="Q108" i="2"/>
  <c r="T108" i="2" s="1"/>
  <c r="W108" i="2"/>
  <c r="Z108" i="2" s="1"/>
  <c r="S87" i="2"/>
  <c r="S92" i="2"/>
  <c r="Q98" i="2"/>
  <c r="T98" i="2" s="1"/>
  <c r="S102" i="2"/>
  <c r="Q104" i="2"/>
  <c r="T104" i="2" s="1"/>
  <c r="S108" i="2"/>
  <c r="Q110" i="2"/>
  <c r="T110" i="2" s="1"/>
  <c r="Q115" i="2"/>
  <c r="T115" i="2" s="1"/>
  <c r="Q120" i="2"/>
  <c r="T120" i="2" s="1"/>
  <c r="S123" i="2"/>
  <c r="Q125" i="2"/>
  <c r="T125" i="2" s="1"/>
  <c r="V8" i="3"/>
  <c r="V6" i="3" s="1"/>
  <c r="X17" i="3"/>
  <c r="AB17" i="3"/>
  <c r="AA17" i="3" s="1"/>
  <c r="AB25" i="3"/>
  <c r="AB34" i="3"/>
  <c r="AB40" i="3"/>
  <c r="AB84" i="3"/>
  <c r="U7" i="3"/>
  <c r="X9" i="3"/>
  <c r="Y20" i="3"/>
  <c r="S20" i="3"/>
  <c r="W20" i="3"/>
  <c r="Z20" i="3" s="1"/>
  <c r="Q20" i="3"/>
  <c r="T20" i="3" s="1"/>
  <c r="AA36" i="3"/>
  <c r="X8" i="3"/>
  <c r="AB8" i="3"/>
  <c r="AA8" i="3" s="1"/>
  <c r="AA9" i="3"/>
  <c r="Y19" i="3"/>
  <c r="S19" i="3"/>
  <c r="U21" i="3"/>
  <c r="X22" i="3"/>
  <c r="AB22" i="3"/>
  <c r="AA22" i="3" s="1"/>
  <c r="AB28" i="3"/>
  <c r="X28" i="3"/>
  <c r="AB30" i="3"/>
  <c r="U31" i="3"/>
  <c r="AB37" i="3"/>
  <c r="AA37" i="3" s="1"/>
  <c r="X37" i="3"/>
  <c r="AB55" i="3"/>
  <c r="AB72" i="3"/>
  <c r="AB77" i="3"/>
  <c r="AB74" i="3"/>
  <c r="V22" i="3"/>
  <c r="Q42" i="3"/>
  <c r="T42" i="3" s="1"/>
  <c r="W42" i="3"/>
  <c r="Z42" i="3" s="1"/>
  <c r="Y42" i="3"/>
  <c r="S42" i="3"/>
  <c r="X13" i="3"/>
  <c r="Y15" i="3"/>
  <c r="S15" i="3"/>
  <c r="W15" i="3"/>
  <c r="Z15" i="3" s="1"/>
  <c r="Q15" i="3"/>
  <c r="T15" i="3" s="1"/>
  <c r="Q24" i="3"/>
  <c r="T24" i="3" s="1"/>
  <c r="Y24" i="3"/>
  <c r="S24" i="3"/>
  <c r="W24" i="3"/>
  <c r="Z24" i="3" s="1"/>
  <c r="Y50" i="3"/>
  <c r="S50" i="3"/>
  <c r="W50" i="3"/>
  <c r="Z50" i="3" s="1"/>
  <c r="Q50" i="3"/>
  <c r="T50" i="3" s="1"/>
  <c r="V93" i="3"/>
  <c r="R40" i="3"/>
  <c r="V40" i="3"/>
  <c r="AB43" i="3"/>
  <c r="V53" i="3"/>
  <c r="Y66" i="3"/>
  <c r="S66" i="3"/>
  <c r="W66" i="3"/>
  <c r="Z66" i="3" s="1"/>
  <c r="Q66" i="3"/>
  <c r="T66" i="3" s="1"/>
  <c r="AB88" i="3"/>
  <c r="S14" i="3"/>
  <c r="Y14" i="3"/>
  <c r="V17" i="3"/>
  <c r="AA13" i="3"/>
  <c r="Q14" i="3"/>
  <c r="T14" i="3" s="1"/>
  <c r="U26" i="3"/>
  <c r="Q29" i="3"/>
  <c r="T29" i="3" s="1"/>
  <c r="Y29" i="3"/>
  <c r="S29" i="3"/>
  <c r="W29" i="3"/>
  <c r="Z29" i="3" s="1"/>
  <c r="W38" i="3"/>
  <c r="Z38" i="3" s="1"/>
  <c r="Q38" i="3"/>
  <c r="T38" i="3" s="1"/>
  <c r="Y38" i="3"/>
  <c r="S38" i="3"/>
  <c r="AB70" i="3"/>
  <c r="AB53" i="3"/>
  <c r="W99" i="3"/>
  <c r="Z99" i="3" s="1"/>
  <c r="V103" i="3"/>
  <c r="W109" i="3"/>
  <c r="Z109" i="3" s="1"/>
  <c r="W120" i="3"/>
  <c r="Z120" i="3" s="1"/>
  <c r="S13" i="3"/>
  <c r="Q25" i="3"/>
  <c r="T25" i="3" s="1"/>
  <c r="W25" i="3"/>
  <c r="Z25" i="3" s="1"/>
  <c r="S28" i="3"/>
  <c r="Q30" i="3"/>
  <c r="T30" i="3" s="1"/>
  <c r="W30" i="3"/>
  <c r="Z30" i="3" s="1"/>
  <c r="Q34" i="3"/>
  <c r="T34" i="3" s="1"/>
  <c r="W34" i="3"/>
  <c r="Z34" i="3" s="1"/>
  <c r="S37" i="3"/>
  <c r="Q43" i="3"/>
  <c r="T43" i="3" s="1"/>
  <c r="W43" i="3"/>
  <c r="Z43" i="3" s="1"/>
  <c r="Y54" i="3"/>
  <c r="W55" i="3"/>
  <c r="Z55" i="3" s="1"/>
  <c r="V58" i="3"/>
  <c r="W70" i="3"/>
  <c r="Z70" i="3" s="1"/>
  <c r="W74" i="3"/>
  <c r="Z74" i="3" s="1"/>
  <c r="W16" i="3"/>
  <c r="Z16" i="3" s="1"/>
  <c r="W21" i="3"/>
  <c r="Z21" i="3" s="1"/>
  <c r="W26" i="3"/>
  <c r="Z26" i="3" s="1"/>
  <c r="W31" i="3"/>
  <c r="Z31" i="3" s="1"/>
  <c r="Y44" i="3"/>
  <c r="Y49" i="3"/>
  <c r="Y51" i="3"/>
  <c r="Y58" i="3"/>
  <c r="W60" i="3"/>
  <c r="Z60" i="3" s="1"/>
  <c r="R63" i="3"/>
  <c r="V63" i="3"/>
  <c r="Y65" i="3"/>
  <c r="Y67" i="3"/>
  <c r="Y71" i="3"/>
  <c r="S71" i="3"/>
  <c r="W71" i="3"/>
  <c r="Z71" i="3" s="1"/>
  <c r="Q71" i="3"/>
  <c r="T71" i="3" s="1"/>
  <c r="R74" i="3"/>
  <c r="V74" i="3"/>
  <c r="V76" i="3"/>
  <c r="U76" i="3" s="1"/>
  <c r="R76" i="3"/>
  <c r="V104" i="3"/>
  <c r="W106" i="3"/>
  <c r="Z106" i="3" s="1"/>
  <c r="W116" i="3"/>
  <c r="Z116" i="3" s="1"/>
  <c r="AB60" i="3"/>
  <c r="Q8" i="3"/>
  <c r="T8" i="3" s="1"/>
  <c r="Q17" i="3"/>
  <c r="T17" i="3" s="1"/>
  <c r="Q22" i="3"/>
  <c r="T22" i="3" s="1"/>
  <c r="S25" i="3"/>
  <c r="S30" i="3"/>
  <c r="S34" i="3"/>
  <c r="W40" i="3"/>
  <c r="Z40" i="3" s="1"/>
  <c r="S43" i="3"/>
  <c r="Y57" i="3"/>
  <c r="W59" i="3"/>
  <c r="Z59" i="3" s="1"/>
  <c r="Y61" i="3"/>
  <c r="S61" i="3"/>
  <c r="W61" i="3"/>
  <c r="Z61" i="3" s="1"/>
  <c r="Q61" i="3"/>
  <c r="T61" i="3" s="1"/>
  <c r="Y63" i="3"/>
  <c r="Y92" i="3"/>
  <c r="T121" i="3"/>
  <c r="R121" i="3"/>
  <c r="W79" i="3"/>
  <c r="Z79" i="3" s="1"/>
  <c r="W123" i="3"/>
  <c r="Z123" i="3" s="1"/>
  <c r="W87" i="3"/>
  <c r="Z87" i="3" s="1"/>
  <c r="Y121" i="3"/>
  <c r="Y116" i="3"/>
  <c r="Y111" i="3"/>
  <c r="Y105" i="3"/>
  <c r="Y99" i="3"/>
  <c r="Y80" i="3"/>
  <c r="Y125" i="3"/>
  <c r="Y124" i="3"/>
  <c r="Y79" i="3"/>
  <c r="Y73" i="3"/>
  <c r="Y68" i="3"/>
  <c r="W54" i="3"/>
  <c r="Z54" i="3" s="1"/>
  <c r="Y52" i="3"/>
  <c r="Y120" i="3"/>
  <c r="W80" i="3"/>
  <c r="Z80" i="3" s="1"/>
  <c r="Y78" i="3"/>
  <c r="W121" i="3"/>
  <c r="Z121" i="3" s="1"/>
  <c r="Y110" i="3"/>
  <c r="Y109" i="3"/>
  <c r="W84" i="3"/>
  <c r="Z84" i="3" s="1"/>
  <c r="W73" i="3"/>
  <c r="Z73" i="3" s="1"/>
  <c r="W68" i="3"/>
  <c r="Z68" i="3" s="1"/>
  <c r="W52" i="3"/>
  <c r="Z52" i="3" s="1"/>
  <c r="W111" i="3"/>
  <c r="Z111" i="3" s="1"/>
  <c r="Y104" i="3"/>
  <c r="Y103" i="3"/>
  <c r="Y93" i="3"/>
  <c r="W85" i="3"/>
  <c r="Z85" i="3" s="1"/>
  <c r="Y115" i="3"/>
  <c r="Y114" i="3"/>
  <c r="W112" i="3"/>
  <c r="Z112" i="3" s="1"/>
  <c r="W105" i="3"/>
  <c r="Z105" i="3" s="1"/>
  <c r="Y98" i="3"/>
  <c r="Y97" i="3"/>
  <c r="W95" i="3"/>
  <c r="Z95" i="3" s="1"/>
  <c r="Y75" i="3"/>
  <c r="Y7" i="3"/>
  <c r="Q9" i="3"/>
  <c r="T9" i="3" s="1"/>
  <c r="U9" i="3" s="1"/>
  <c r="Y16" i="3"/>
  <c r="Y21" i="3"/>
  <c r="Y26" i="3"/>
  <c r="Y31" i="3"/>
  <c r="Q36" i="3"/>
  <c r="W49" i="3"/>
  <c r="Z49" i="3" s="1"/>
  <c r="W53" i="3"/>
  <c r="Z53" i="3" s="1"/>
  <c r="W64" i="3"/>
  <c r="Z64" i="3" s="1"/>
  <c r="W65" i="3"/>
  <c r="Z65" i="3" s="1"/>
  <c r="W75" i="3"/>
  <c r="Z75" i="3" s="1"/>
  <c r="W76" i="3"/>
  <c r="Z76" i="3" s="1"/>
  <c r="Y81" i="3"/>
  <c r="S81" i="3"/>
  <c r="W81" i="3"/>
  <c r="Z81" i="3" s="1"/>
  <c r="Q81" i="3"/>
  <c r="T81" i="3" s="1"/>
  <c r="Y102" i="3"/>
  <c r="S48" i="3"/>
  <c r="Y48" i="3"/>
  <c r="S54" i="3"/>
  <c r="S59" i="3"/>
  <c r="Y59" i="3"/>
  <c r="Y64" i="3"/>
  <c r="Y91" i="3"/>
  <c r="S91" i="3"/>
  <c r="W91" i="3"/>
  <c r="Z91" i="3" s="1"/>
  <c r="Q91" i="3"/>
  <c r="T91" i="3" s="1"/>
  <c r="Y101" i="3"/>
  <c r="S101" i="3"/>
  <c r="W101" i="3"/>
  <c r="Z101" i="3" s="1"/>
  <c r="Q101" i="3"/>
  <c r="T101" i="3" s="1"/>
  <c r="Y108" i="3"/>
  <c r="V109" i="3"/>
  <c r="Y118" i="3"/>
  <c r="S118" i="3"/>
  <c r="W118" i="3"/>
  <c r="Z118" i="3" s="1"/>
  <c r="Q118" i="3"/>
  <c r="T118" i="3" s="1"/>
  <c r="Y123" i="3"/>
  <c r="W124" i="3"/>
  <c r="Z124" i="3" s="1"/>
  <c r="W125" i="3"/>
  <c r="Z125" i="3" s="1"/>
  <c r="S49" i="3"/>
  <c r="Q51" i="3"/>
  <c r="T51" i="3" s="1"/>
  <c r="W51" i="3"/>
  <c r="Z51" i="3" s="1"/>
  <c r="V52" i="3"/>
  <c r="U52" i="3" s="1"/>
  <c r="S55" i="3"/>
  <c r="S60" i="3"/>
  <c r="S65" i="3"/>
  <c r="Q67" i="3"/>
  <c r="T67" i="3" s="1"/>
  <c r="W67" i="3"/>
  <c r="Z67" i="3" s="1"/>
  <c r="S70" i="3"/>
  <c r="Q72" i="3"/>
  <c r="T72" i="3" s="1"/>
  <c r="W72" i="3"/>
  <c r="Z72" i="3" s="1"/>
  <c r="V73" i="3"/>
  <c r="U73" i="3" s="1"/>
  <c r="R79" i="3"/>
  <c r="R80" i="3"/>
  <c r="Y90" i="3"/>
  <c r="S90" i="3"/>
  <c r="Y100" i="3"/>
  <c r="S100" i="3"/>
  <c r="Y107" i="3"/>
  <c r="S107" i="3"/>
  <c r="W107" i="3"/>
  <c r="Z107" i="3" s="1"/>
  <c r="Q107" i="3"/>
  <c r="T107" i="3" s="1"/>
  <c r="Y117" i="3"/>
  <c r="S117" i="3"/>
  <c r="V119" i="3"/>
  <c r="U121" i="3"/>
  <c r="Q57" i="3"/>
  <c r="T57" i="3" s="1"/>
  <c r="W57" i="3"/>
  <c r="Z57" i="3" s="1"/>
  <c r="U79" i="3"/>
  <c r="U80" i="3"/>
  <c r="Y87" i="3"/>
  <c r="W88" i="3"/>
  <c r="Z88" i="3" s="1"/>
  <c r="Q90" i="3"/>
  <c r="T90" i="3" s="1"/>
  <c r="W98" i="3"/>
  <c r="Z98" i="3" s="1"/>
  <c r="Q100" i="3"/>
  <c r="T100" i="3" s="1"/>
  <c r="Y106" i="3"/>
  <c r="S106" i="3"/>
  <c r="W115" i="3"/>
  <c r="Z115" i="3" s="1"/>
  <c r="Q117" i="3"/>
  <c r="T117" i="3" s="1"/>
  <c r="R124" i="3"/>
  <c r="V124" i="3"/>
  <c r="U124" i="3" s="1"/>
  <c r="S51" i="3"/>
  <c r="Q53" i="3"/>
  <c r="T53" i="3" s="1"/>
  <c r="Q58" i="3"/>
  <c r="T58" i="3" s="1"/>
  <c r="S67" i="3"/>
  <c r="S72" i="3"/>
  <c r="Q74" i="3"/>
  <c r="T74" i="3" s="1"/>
  <c r="W77" i="3"/>
  <c r="Z77" i="3" s="1"/>
  <c r="Q77" i="3"/>
  <c r="T77" i="3" s="1"/>
  <c r="Y86" i="3"/>
  <c r="S86" i="3"/>
  <c r="W86" i="3"/>
  <c r="Z86" i="3" s="1"/>
  <c r="Q86" i="3"/>
  <c r="T86" i="3" s="1"/>
  <c r="V88" i="3"/>
  <c r="Y95" i="3"/>
  <c r="S95" i="3"/>
  <c r="W97" i="3"/>
  <c r="Z97" i="3" s="1"/>
  <c r="W104" i="3"/>
  <c r="Z104" i="3" s="1"/>
  <c r="Y112" i="3"/>
  <c r="S112" i="3"/>
  <c r="W114" i="3"/>
  <c r="Z114" i="3" s="1"/>
  <c r="R116" i="3"/>
  <c r="Q48" i="3"/>
  <c r="T48" i="3" s="1"/>
  <c r="S57" i="3"/>
  <c r="Q59" i="3"/>
  <c r="T59" i="3" s="1"/>
  <c r="Q64" i="3"/>
  <c r="Q75" i="3"/>
  <c r="Y76" i="3"/>
  <c r="S77" i="3"/>
  <c r="W78" i="3"/>
  <c r="Z78" i="3" s="1"/>
  <c r="Y85" i="3"/>
  <c r="S85" i="3"/>
  <c r="W90" i="3"/>
  <c r="Z90" i="3" s="1"/>
  <c r="W93" i="3"/>
  <c r="Z93" i="3" s="1"/>
  <c r="Q95" i="3"/>
  <c r="T95" i="3" s="1"/>
  <c r="V97" i="3"/>
  <c r="U99" i="3"/>
  <c r="W100" i="3"/>
  <c r="Z100" i="3" s="1"/>
  <c r="W103" i="3"/>
  <c r="Z103" i="3" s="1"/>
  <c r="R105" i="3"/>
  <c r="W110" i="3"/>
  <c r="Z110" i="3" s="1"/>
  <c r="Q112" i="3"/>
  <c r="T112" i="3" s="1"/>
  <c r="V114" i="3"/>
  <c r="U116" i="3"/>
  <c r="W117" i="3"/>
  <c r="Z117" i="3" s="1"/>
  <c r="S84" i="3"/>
  <c r="Q92" i="3"/>
  <c r="T92" i="3" s="1"/>
  <c r="W92" i="3"/>
  <c r="Z92" i="3" s="1"/>
  <c r="Q102" i="3"/>
  <c r="T102" i="3" s="1"/>
  <c r="W102" i="3"/>
  <c r="Z102" i="3" s="1"/>
  <c r="Q108" i="3"/>
  <c r="T108" i="3" s="1"/>
  <c r="W108" i="3"/>
  <c r="Z108" i="3" s="1"/>
  <c r="Q78" i="3"/>
  <c r="Q88" i="3"/>
  <c r="T88" i="3" s="1"/>
  <c r="Q93" i="3"/>
  <c r="T93" i="3" s="1"/>
  <c r="Q97" i="3"/>
  <c r="T97" i="3" s="1"/>
  <c r="Q103" i="3"/>
  <c r="T103" i="3" s="1"/>
  <c r="Q109" i="3"/>
  <c r="T109" i="3" s="1"/>
  <c r="Q114" i="3"/>
  <c r="T114" i="3" s="1"/>
  <c r="S87" i="3"/>
  <c r="S92" i="3"/>
  <c r="Q98" i="3"/>
  <c r="S102" i="3"/>
  <c r="Q104" i="3"/>
  <c r="T104" i="3" s="1"/>
  <c r="S108" i="3"/>
  <c r="Q110" i="3"/>
  <c r="Q115" i="3"/>
  <c r="Q120" i="3"/>
  <c r="S123" i="3"/>
  <c r="Q125" i="3"/>
  <c r="T125" i="3" s="1"/>
  <c r="U125" i="3" s="1"/>
  <c r="W12" i="5" l="1"/>
  <c r="V12" i="5" s="1"/>
  <c r="AY6" i="5"/>
  <c r="AX9" i="5"/>
  <c r="AR6" i="5"/>
  <c r="AQ9" i="5"/>
  <c r="AK6" i="5"/>
  <c r="AJ9" i="5"/>
  <c r="AK27" i="5"/>
  <c r="AJ27" i="5" s="1"/>
  <c r="AC9" i="5"/>
  <c r="AD6" i="5"/>
  <c r="AD35" i="5"/>
  <c r="AC35" i="5" s="1"/>
  <c r="V9" i="5"/>
  <c r="W6" i="5"/>
  <c r="W94" i="5"/>
  <c r="V94" i="5" s="1"/>
  <c r="O42" i="5"/>
  <c r="O43" i="5"/>
  <c r="O25" i="5"/>
  <c r="O97" i="5"/>
  <c r="O77" i="5"/>
  <c r="O121" i="5"/>
  <c r="O63" i="5"/>
  <c r="O68" i="5"/>
  <c r="O37" i="5"/>
  <c r="O86" i="5"/>
  <c r="O48" i="5"/>
  <c r="O49" i="5"/>
  <c r="O58" i="5"/>
  <c r="O117" i="5"/>
  <c r="O57" i="5"/>
  <c r="O51" i="5"/>
  <c r="O40" i="5"/>
  <c r="O38" i="5"/>
  <c r="O55" i="5"/>
  <c r="O108" i="5"/>
  <c r="O92" i="5"/>
  <c r="O67" i="5"/>
  <c r="O87" i="5"/>
  <c r="O34" i="5"/>
  <c r="O53" i="5"/>
  <c r="O64" i="5"/>
  <c r="O50" i="5"/>
  <c r="O93" i="5"/>
  <c r="O65" i="5"/>
  <c r="O124" i="5"/>
  <c r="O111" i="5"/>
  <c r="O76" i="5"/>
  <c r="O30" i="5"/>
  <c r="O110" i="5"/>
  <c r="O73" i="5"/>
  <c r="O29" i="5"/>
  <c r="O114" i="5"/>
  <c r="O28" i="5"/>
  <c r="O107" i="5"/>
  <c r="O102" i="5"/>
  <c r="O101" i="5"/>
  <c r="O81" i="5"/>
  <c r="O66" i="5"/>
  <c r="O106" i="5"/>
  <c r="O44" i="5"/>
  <c r="O123" i="5"/>
  <c r="O60" i="5"/>
  <c r="O115" i="5"/>
  <c r="O120" i="5"/>
  <c r="O88" i="5"/>
  <c r="O59" i="5"/>
  <c r="O105" i="5"/>
  <c r="O118" i="5"/>
  <c r="O14" i="5"/>
  <c r="O104" i="5"/>
  <c r="O116" i="5"/>
  <c r="O13" i="5"/>
  <c r="O109" i="5"/>
  <c r="O71" i="5"/>
  <c r="O79" i="5"/>
  <c r="O125" i="5"/>
  <c r="O61" i="5"/>
  <c r="O24" i="5"/>
  <c r="O15" i="5"/>
  <c r="O85" i="5"/>
  <c r="O84" i="5"/>
  <c r="O26" i="5"/>
  <c r="O100" i="5"/>
  <c r="O52" i="5"/>
  <c r="O95" i="5"/>
  <c r="O112" i="5"/>
  <c r="O78" i="5"/>
  <c r="O31" i="5"/>
  <c r="O99" i="5"/>
  <c r="O74" i="5"/>
  <c r="O91" i="5"/>
  <c r="O98" i="5"/>
  <c r="O72" i="5"/>
  <c r="O80" i="5"/>
  <c r="O54" i="5"/>
  <c r="O103" i="5"/>
  <c r="O70" i="5"/>
  <c r="O75" i="5"/>
  <c r="O36" i="5"/>
  <c r="O17" i="5"/>
  <c r="O90" i="5"/>
  <c r="AX19" i="5"/>
  <c r="AY18" i="5"/>
  <c r="AX18" i="5" s="1"/>
  <c r="AQ19" i="5"/>
  <c r="AR18" i="5"/>
  <c r="AQ18" i="5" s="1"/>
  <c r="AK18" i="5"/>
  <c r="AJ18" i="5" s="1"/>
  <c r="AJ19" i="5"/>
  <c r="AC19" i="5"/>
  <c r="AD18" i="5"/>
  <c r="AC18" i="5" s="1"/>
  <c r="W18" i="5"/>
  <c r="V18" i="5" s="1"/>
  <c r="V19" i="5"/>
  <c r="O21" i="5"/>
  <c r="O20" i="5"/>
  <c r="O22" i="5"/>
  <c r="O19" i="5"/>
  <c r="S96" i="5"/>
  <c r="BF12" i="5"/>
  <c r="BI69" i="5"/>
  <c r="BI41" i="5"/>
  <c r="BI23" i="5"/>
  <c r="BF47" i="5"/>
  <c r="BF18" i="5"/>
  <c r="BI47" i="5"/>
  <c r="BI83" i="5"/>
  <c r="BF56" i="5"/>
  <c r="BI18" i="5"/>
  <c r="P35" i="5"/>
  <c r="BF89" i="5"/>
  <c r="BF94" i="5"/>
  <c r="BF33" i="5"/>
  <c r="BF83" i="5"/>
  <c r="BF119" i="5"/>
  <c r="BI56" i="5"/>
  <c r="BF35" i="5"/>
  <c r="BF122" i="5"/>
  <c r="BF62" i="5"/>
  <c r="BI12" i="5"/>
  <c r="BF27" i="5"/>
  <c r="BI94" i="5"/>
  <c r="BI33" i="5"/>
  <c r="BI119" i="5"/>
  <c r="BI35" i="5"/>
  <c r="BI122" i="5"/>
  <c r="BI62" i="5"/>
  <c r="S69" i="5"/>
  <c r="P23" i="5"/>
  <c r="AD119" i="5"/>
  <c r="AC119" i="5" s="1"/>
  <c r="AD113" i="5"/>
  <c r="AC113" i="5" s="1"/>
  <c r="BI89" i="5"/>
  <c r="BI27" i="5"/>
  <c r="BF113" i="5"/>
  <c r="BF39" i="5"/>
  <c r="BF96" i="5"/>
  <c r="BF69" i="5"/>
  <c r="BF41" i="5"/>
  <c r="BF23" i="5"/>
  <c r="BI113" i="5"/>
  <c r="BI39" i="5"/>
  <c r="BI96" i="5"/>
  <c r="AU23" i="5"/>
  <c r="BB27" i="5"/>
  <c r="AD12" i="5"/>
  <c r="AC12" i="5" s="1"/>
  <c r="AU119" i="5"/>
  <c r="AD89" i="5"/>
  <c r="AC89" i="5" s="1"/>
  <c r="AY113" i="5"/>
  <c r="AX113" i="5" s="1"/>
  <c r="AK47" i="5"/>
  <c r="AJ47" i="5" s="1"/>
  <c r="BB33" i="5"/>
  <c r="S56" i="5"/>
  <c r="S62" i="5"/>
  <c r="S94" i="5"/>
  <c r="W41" i="5"/>
  <c r="V41" i="5" s="1"/>
  <c r="AD122" i="5"/>
  <c r="AG39" i="5"/>
  <c r="AK94" i="5"/>
  <c r="AJ94" i="5" s="1"/>
  <c r="AR27" i="5"/>
  <c r="AQ27" i="5" s="1"/>
  <c r="AG122" i="5"/>
  <c r="AG62" i="5"/>
  <c r="AY119" i="5"/>
  <c r="AX119" i="5" s="1"/>
  <c r="AR56" i="5"/>
  <c r="AQ56" i="5" s="1"/>
  <c r="AR12" i="5"/>
  <c r="AQ12" i="5" s="1"/>
  <c r="AK41" i="5"/>
  <c r="AJ41" i="5" s="1"/>
  <c r="BB94" i="5"/>
  <c r="AG83" i="5"/>
  <c r="AG56" i="5"/>
  <c r="AD62" i="5"/>
  <c r="AC62" i="5" s="1"/>
  <c r="AY23" i="5"/>
  <c r="AX23" i="5" s="1"/>
  <c r="AK62" i="5"/>
  <c r="AJ62" i="5" s="1"/>
  <c r="AK113" i="5"/>
  <c r="AJ113" i="5" s="1"/>
  <c r="AK23" i="5"/>
  <c r="AJ23" i="5" s="1"/>
  <c r="AN23" i="5"/>
  <c r="AK56" i="5"/>
  <c r="AJ56" i="5" s="1"/>
  <c r="Z122" i="5"/>
  <c r="Z83" i="5"/>
  <c r="W89" i="5"/>
  <c r="V89" i="5" s="1"/>
  <c r="W69" i="5"/>
  <c r="V69" i="5" s="1"/>
  <c r="W33" i="5"/>
  <c r="V33" i="5" s="1"/>
  <c r="AY39" i="5"/>
  <c r="AX39" i="5" s="1"/>
  <c r="Z69" i="5"/>
  <c r="AG41" i="5"/>
  <c r="AU27" i="5"/>
  <c r="AR47" i="5"/>
  <c r="AQ47" i="5" s="1"/>
  <c r="BB39" i="5"/>
  <c r="AG89" i="5"/>
  <c r="AG119" i="5"/>
  <c r="Z35" i="5"/>
  <c r="AU122" i="5"/>
  <c r="AN62" i="5"/>
  <c r="AY94" i="5"/>
  <c r="AX94" i="5" s="1"/>
  <c r="AY27" i="5"/>
  <c r="AX27" i="5" s="1"/>
  <c r="AK89" i="5"/>
  <c r="AJ89" i="5" s="1"/>
  <c r="AK69" i="5"/>
  <c r="AJ69" i="5" s="1"/>
  <c r="AR33" i="5"/>
  <c r="AQ33" i="5" s="1"/>
  <c r="AK39" i="5"/>
  <c r="AJ39" i="5" s="1"/>
  <c r="Z94" i="5"/>
  <c r="BB83" i="5"/>
  <c r="AN56" i="5"/>
  <c r="AY56" i="5"/>
  <c r="AX56" i="5" s="1"/>
  <c r="Z96" i="5"/>
  <c r="AY122" i="5"/>
  <c r="AR83" i="5"/>
  <c r="AQ83" i="5" s="1"/>
  <c r="AN47" i="5"/>
  <c r="AU33" i="5"/>
  <c r="Z113" i="5"/>
  <c r="AU12" i="5"/>
  <c r="W122" i="5"/>
  <c r="W47" i="5"/>
  <c r="V47" i="5" s="1"/>
  <c r="W62" i="5"/>
  <c r="V62" i="5" s="1"/>
  <c r="W83" i="5"/>
  <c r="V83" i="5" s="1"/>
  <c r="BB69" i="5"/>
  <c r="AU41" i="5"/>
  <c r="AN39" i="5"/>
  <c r="Z62" i="5"/>
  <c r="AK122" i="5"/>
  <c r="AG94" i="5"/>
  <c r="AY35" i="5"/>
  <c r="AX35" i="5" s="1"/>
  <c r="AY96" i="5"/>
  <c r="AX96" i="5" s="1"/>
  <c r="AU113" i="5"/>
  <c r="W35" i="5"/>
  <c r="V35" i="5" s="1"/>
  <c r="S83" i="5"/>
  <c r="AN69" i="5"/>
  <c r="Z41" i="5"/>
  <c r="Z23" i="5"/>
  <c r="Z27" i="5"/>
  <c r="AU39" i="5"/>
  <c r="AR35" i="5"/>
  <c r="AQ35" i="5" s="1"/>
  <c r="AR96" i="5"/>
  <c r="AQ96" i="5" s="1"/>
  <c r="Z89" i="5"/>
  <c r="Z119" i="5"/>
  <c r="AG35" i="5"/>
  <c r="AD23" i="5"/>
  <c r="AC23" i="5" s="1"/>
  <c r="AN122" i="5"/>
  <c r="BB62" i="5"/>
  <c r="AN94" i="5"/>
  <c r="AN83" i="5"/>
  <c r="BB56" i="5"/>
  <c r="AD41" i="5"/>
  <c r="AC41" i="5" s="1"/>
  <c r="AG96" i="5"/>
  <c r="AR119" i="5"/>
  <c r="AQ119" i="5" s="1"/>
  <c r="W56" i="5"/>
  <c r="V56" i="5" s="1"/>
  <c r="AK12" i="5"/>
  <c r="AJ12" i="5" s="1"/>
  <c r="AY41" i="5"/>
  <c r="AX41" i="5" s="1"/>
  <c r="Z47" i="5"/>
  <c r="Z33" i="5"/>
  <c r="AG113" i="5"/>
  <c r="AG12" i="5"/>
  <c r="W119" i="5"/>
  <c r="V119" i="5" s="1"/>
  <c r="AD56" i="5"/>
  <c r="AC56" i="5" s="1"/>
  <c r="AY12" i="5"/>
  <c r="AX12" i="5" s="1"/>
  <c r="AK83" i="5"/>
  <c r="AJ83" i="5" s="1"/>
  <c r="AK119" i="5"/>
  <c r="AJ119" i="5" s="1"/>
  <c r="BB89" i="5"/>
  <c r="BB35" i="5"/>
  <c r="AY83" i="5"/>
  <c r="AX83" i="5" s="1"/>
  <c r="Z56" i="5"/>
  <c r="AN96" i="5"/>
  <c r="AU47" i="5"/>
  <c r="AR69" i="5"/>
  <c r="AQ69" i="5" s="1"/>
  <c r="W113" i="5"/>
  <c r="V113" i="5" s="1"/>
  <c r="AD47" i="5"/>
  <c r="AC47" i="5" s="1"/>
  <c r="AG69" i="5"/>
  <c r="AN41" i="5"/>
  <c r="AG23" i="5"/>
  <c r="AG27" i="5"/>
  <c r="AY62" i="5"/>
  <c r="AX62" i="5" s="1"/>
  <c r="AU89" i="5"/>
  <c r="AN119" i="5"/>
  <c r="AU35" i="5"/>
  <c r="W96" i="5"/>
  <c r="V96" i="5" s="1"/>
  <c r="BB122" i="5"/>
  <c r="AU62" i="5"/>
  <c r="AK35" i="5"/>
  <c r="AJ35" i="5" s="1"/>
  <c r="AK96" i="5"/>
  <c r="AJ96" i="5" s="1"/>
  <c r="AR113" i="5"/>
  <c r="AQ113" i="5" s="1"/>
  <c r="AY47" i="5"/>
  <c r="AX47" i="5" s="1"/>
  <c r="AU94" i="5"/>
  <c r="AU83" i="5"/>
  <c r="AU56" i="5"/>
  <c r="AN12" i="5"/>
  <c r="AU96" i="5"/>
  <c r="AR94" i="5"/>
  <c r="AQ94" i="5" s="1"/>
  <c r="AD27" i="5"/>
  <c r="AC27" i="5" s="1"/>
  <c r="AY89" i="5"/>
  <c r="AX89" i="5" s="1"/>
  <c r="AY69" i="5"/>
  <c r="AX69" i="5" s="1"/>
  <c r="AY33" i="5"/>
  <c r="AX33" i="5" s="1"/>
  <c r="AR39" i="5"/>
  <c r="AQ39" i="5" s="1"/>
  <c r="AG47" i="5"/>
  <c r="AG33" i="5"/>
  <c r="AN113" i="5"/>
  <c r="BB12" i="5"/>
  <c r="AD94" i="5"/>
  <c r="AC94" i="5" s="1"/>
  <c r="W27" i="5"/>
  <c r="V27" i="5" s="1"/>
  <c r="AR89" i="5"/>
  <c r="AQ89" i="5" s="1"/>
  <c r="AR41" i="5"/>
  <c r="AQ41" i="5" s="1"/>
  <c r="AD83" i="5"/>
  <c r="AC83" i="5" s="1"/>
  <c r="W23" i="5"/>
  <c r="V23" i="5" s="1"/>
  <c r="AU69" i="5"/>
  <c r="BB41" i="5"/>
  <c r="BB23" i="5"/>
  <c r="AN27" i="5"/>
  <c r="AD69" i="5"/>
  <c r="AC69" i="5" s="1"/>
  <c r="Z39" i="5"/>
  <c r="AR122" i="5"/>
  <c r="AN89" i="5"/>
  <c r="BB119" i="5"/>
  <c r="AN35" i="5"/>
  <c r="AD39" i="5"/>
  <c r="AC39" i="5" s="1"/>
  <c r="AR62" i="5"/>
  <c r="AQ62" i="5" s="1"/>
  <c r="AR23" i="5"/>
  <c r="AQ23" i="5" s="1"/>
  <c r="BB96" i="5"/>
  <c r="BB47" i="5"/>
  <c r="AN33" i="5"/>
  <c r="BB113" i="5"/>
  <c r="Z12" i="5"/>
  <c r="AD96" i="5"/>
  <c r="AC96" i="5" s="1"/>
  <c r="W39" i="5"/>
  <c r="V39" i="5" s="1"/>
  <c r="P96" i="5"/>
  <c r="P12" i="5"/>
  <c r="P122" i="5"/>
  <c r="S32" i="5"/>
  <c r="S46" i="5"/>
  <c r="P39" i="5"/>
  <c r="P94" i="5"/>
  <c r="P69" i="5"/>
  <c r="P33" i="5"/>
  <c r="P113" i="5"/>
  <c r="P41" i="5"/>
  <c r="P62" i="5"/>
  <c r="P119" i="5"/>
  <c r="P27" i="5"/>
  <c r="P47" i="5"/>
  <c r="P18" i="5"/>
  <c r="P83" i="5"/>
  <c r="P89" i="5"/>
  <c r="S11" i="5"/>
  <c r="P56" i="5"/>
  <c r="U109" i="2"/>
  <c r="U88" i="3"/>
  <c r="AA60" i="3"/>
  <c r="R88" i="3"/>
  <c r="AA77" i="3"/>
  <c r="AA53" i="3"/>
  <c r="R9" i="3"/>
  <c r="X60" i="3"/>
  <c r="U93" i="3"/>
  <c r="AA25" i="3"/>
  <c r="U74" i="3"/>
  <c r="R93" i="3"/>
  <c r="U118" i="2"/>
  <c r="R114" i="2"/>
  <c r="U107" i="2"/>
  <c r="R43" i="2"/>
  <c r="R68" i="2"/>
  <c r="U25" i="2"/>
  <c r="R25" i="2"/>
  <c r="X14" i="2"/>
  <c r="X8" i="2"/>
  <c r="X17" i="2"/>
  <c r="R37" i="2"/>
  <c r="R28" i="2"/>
  <c r="AA15" i="2"/>
  <c r="U93" i="2"/>
  <c r="U15" i="2"/>
  <c r="AA13" i="2"/>
  <c r="R15" i="2"/>
  <c r="R116" i="2"/>
  <c r="R93" i="2"/>
  <c r="V97" i="2"/>
  <c r="AA17" i="2"/>
  <c r="R121" i="2"/>
  <c r="V30" i="2"/>
  <c r="U30" i="2" s="1"/>
  <c r="R107" i="2"/>
  <c r="U20" i="2"/>
  <c r="R13" i="2"/>
  <c r="R78" i="2"/>
  <c r="AA14" i="2"/>
  <c r="R34" i="2"/>
  <c r="R118" i="2"/>
  <c r="X15" i="2"/>
  <c r="U86" i="2"/>
  <c r="U101" i="2"/>
  <c r="V103" i="2"/>
  <c r="U103" i="2" s="1"/>
  <c r="R61" i="2"/>
  <c r="X21" i="2"/>
  <c r="R86" i="2"/>
  <c r="R67" i="2"/>
  <c r="U124" i="2"/>
  <c r="U50" i="2"/>
  <c r="R38" i="2"/>
  <c r="X13" i="2"/>
  <c r="U78" i="2"/>
  <c r="R101" i="2"/>
  <c r="R109" i="2"/>
  <c r="R49" i="2"/>
  <c r="V49" i="2"/>
  <c r="U49" i="2" s="1"/>
  <c r="X85" i="2"/>
  <c r="AB85" i="2"/>
  <c r="AA85" i="2" s="1"/>
  <c r="AB73" i="2"/>
  <c r="AA73" i="2" s="1"/>
  <c r="X73" i="2"/>
  <c r="AB105" i="2"/>
  <c r="AA105" i="2" s="1"/>
  <c r="X105" i="2"/>
  <c r="V81" i="2"/>
  <c r="U81" i="2" s="1"/>
  <c r="R81" i="2"/>
  <c r="X79" i="2"/>
  <c r="AB79" i="2"/>
  <c r="AA79" i="2" s="1"/>
  <c r="R92" i="2"/>
  <c r="V92" i="2"/>
  <c r="U92" i="2" s="1"/>
  <c r="V115" i="2"/>
  <c r="U115" i="2" s="1"/>
  <c r="R115" i="2"/>
  <c r="AB104" i="2"/>
  <c r="AA104" i="2" s="1"/>
  <c r="X104" i="2"/>
  <c r="T42" i="2"/>
  <c r="U42" i="2" s="1"/>
  <c r="R42" i="2"/>
  <c r="R95" i="2"/>
  <c r="V95" i="2"/>
  <c r="U97" i="2"/>
  <c r="X102" i="2"/>
  <c r="AB102" i="2"/>
  <c r="AA102" i="2" s="1"/>
  <c r="V52" i="2"/>
  <c r="U52" i="2" s="1"/>
  <c r="R52" i="2"/>
  <c r="X70" i="2"/>
  <c r="AB70" i="2"/>
  <c r="R50" i="2"/>
  <c r="R16" i="2"/>
  <c r="V16" i="2"/>
  <c r="U16" i="2" s="1"/>
  <c r="X103" i="2"/>
  <c r="AB103" i="2"/>
  <c r="AA103" i="2" s="1"/>
  <c r="AB84" i="2"/>
  <c r="X84" i="2"/>
  <c r="X86" i="2"/>
  <c r="AB86" i="2"/>
  <c r="AA86" i="2" s="1"/>
  <c r="X34" i="2"/>
  <c r="AB34" i="2"/>
  <c r="AB81" i="2"/>
  <c r="AA81" i="2" s="1"/>
  <c r="X81" i="2"/>
  <c r="X71" i="2"/>
  <c r="AB71" i="2"/>
  <c r="AA71" i="2" s="1"/>
  <c r="AB52" i="2"/>
  <c r="AA52" i="2" s="1"/>
  <c r="X52" i="2"/>
  <c r="X63" i="2"/>
  <c r="AB63" i="2"/>
  <c r="V33" i="2"/>
  <c r="U34" i="2"/>
  <c r="V9" i="2"/>
  <c r="U9" i="2" s="1"/>
  <c r="R9" i="2"/>
  <c r="R66" i="2"/>
  <c r="X40" i="2"/>
  <c r="AB40" i="2"/>
  <c r="AA88" i="2"/>
  <c r="X22" i="2"/>
  <c r="X31" i="2"/>
  <c r="V125" i="2"/>
  <c r="U125" i="2" s="1"/>
  <c r="R125" i="2"/>
  <c r="AB72" i="2"/>
  <c r="AA72" i="2" s="1"/>
  <c r="X72" i="2"/>
  <c r="R87" i="2"/>
  <c r="V87" i="2"/>
  <c r="U87" i="2" s="1"/>
  <c r="AB120" i="2"/>
  <c r="X120" i="2"/>
  <c r="V104" i="2"/>
  <c r="U104" i="2" s="1"/>
  <c r="R104" i="2"/>
  <c r="R65" i="2"/>
  <c r="V65" i="2"/>
  <c r="U65" i="2" s="1"/>
  <c r="X95" i="2"/>
  <c r="AB95" i="2"/>
  <c r="R77" i="2"/>
  <c r="V77" i="2"/>
  <c r="U77" i="2" s="1"/>
  <c r="U114" i="2"/>
  <c r="R90" i="2"/>
  <c r="V90" i="2"/>
  <c r="AB57" i="2"/>
  <c r="X57" i="2"/>
  <c r="X114" i="2"/>
  <c r="AB114" i="2"/>
  <c r="X124" i="2"/>
  <c r="AB124" i="2"/>
  <c r="AA124" i="2" s="1"/>
  <c r="AB111" i="2"/>
  <c r="AA111" i="2" s="1"/>
  <c r="X111" i="2"/>
  <c r="X107" i="2"/>
  <c r="AB107" i="2"/>
  <c r="AA107" i="2" s="1"/>
  <c r="X30" i="2"/>
  <c r="AB30" i="2"/>
  <c r="X108" i="2"/>
  <c r="AB108" i="2"/>
  <c r="AA108" i="2" s="1"/>
  <c r="AB67" i="2"/>
  <c r="AA67" i="2" s="1"/>
  <c r="X67" i="2"/>
  <c r="R100" i="2"/>
  <c r="V100" i="2"/>
  <c r="U100" i="2" s="1"/>
  <c r="R53" i="2"/>
  <c r="V53" i="2"/>
  <c r="U53" i="2" s="1"/>
  <c r="U71" i="2"/>
  <c r="R54" i="2"/>
  <c r="V54" i="2"/>
  <c r="U54" i="2" s="1"/>
  <c r="X7" i="2"/>
  <c r="X88" i="2"/>
  <c r="AA19" i="2"/>
  <c r="AA24" i="2"/>
  <c r="V98" i="2"/>
  <c r="U98" i="2" s="1"/>
  <c r="R98" i="2"/>
  <c r="V57" i="2"/>
  <c r="R57" i="2"/>
  <c r="R21" i="2"/>
  <c r="V21" i="2"/>
  <c r="U21" i="2" s="1"/>
  <c r="X58" i="2"/>
  <c r="AB58" i="2"/>
  <c r="AA58" i="2" s="1"/>
  <c r="AB42" i="2"/>
  <c r="X42" i="2"/>
  <c r="R63" i="2"/>
  <c r="V63" i="2"/>
  <c r="R108" i="2"/>
  <c r="V108" i="2"/>
  <c r="U108" i="2" s="1"/>
  <c r="V120" i="2"/>
  <c r="R120" i="2"/>
  <c r="AB110" i="2"/>
  <c r="AA110" i="2" s="1"/>
  <c r="X110" i="2"/>
  <c r="R60" i="2"/>
  <c r="V60" i="2"/>
  <c r="U60" i="2" s="1"/>
  <c r="R106" i="2"/>
  <c r="V106" i="2"/>
  <c r="U106" i="2" s="1"/>
  <c r="X92" i="2"/>
  <c r="AB92" i="2"/>
  <c r="AA92" i="2" s="1"/>
  <c r="AB77" i="2"/>
  <c r="AA77" i="2" s="1"/>
  <c r="X77" i="2"/>
  <c r="X90" i="2"/>
  <c r="AB90" i="2"/>
  <c r="X55" i="2"/>
  <c r="AB55" i="2"/>
  <c r="AA55" i="2" s="1"/>
  <c r="R7" i="2"/>
  <c r="V7" i="2"/>
  <c r="X78" i="2"/>
  <c r="AB78" i="2"/>
  <c r="AA78" i="2" s="1"/>
  <c r="AB116" i="2"/>
  <c r="AA116" i="2" s="1"/>
  <c r="X116" i="2"/>
  <c r="X91" i="2"/>
  <c r="AB91" i="2"/>
  <c r="AA91" i="2" s="1"/>
  <c r="X49" i="2"/>
  <c r="AB49" i="2"/>
  <c r="AA49" i="2" s="1"/>
  <c r="X25" i="2"/>
  <c r="AB25" i="2"/>
  <c r="AA25" i="2" s="1"/>
  <c r="R74" i="2"/>
  <c r="V74" i="2"/>
  <c r="U74" i="2" s="1"/>
  <c r="R59" i="2"/>
  <c r="V59" i="2"/>
  <c r="U59" i="2" s="1"/>
  <c r="R29" i="2"/>
  <c r="V29" i="2"/>
  <c r="R19" i="2"/>
  <c r="V19" i="2"/>
  <c r="X109" i="2"/>
  <c r="AB109" i="2"/>
  <c r="AA109" i="2" s="1"/>
  <c r="X66" i="2"/>
  <c r="AB66" i="2"/>
  <c r="AA66" i="2" s="1"/>
  <c r="AB37" i="2"/>
  <c r="AA37" i="2" s="1"/>
  <c r="X37" i="2"/>
  <c r="X100" i="2"/>
  <c r="AB100" i="2"/>
  <c r="AA100" i="2" s="1"/>
  <c r="X76" i="2"/>
  <c r="AB76" i="2"/>
  <c r="AA76" i="2" s="1"/>
  <c r="X53" i="2"/>
  <c r="AB53" i="2"/>
  <c r="AA53" i="2" s="1"/>
  <c r="T14" i="2"/>
  <c r="U14" i="2" s="1"/>
  <c r="R14" i="2"/>
  <c r="R22" i="2"/>
  <c r="V22" i="2"/>
  <c r="U22" i="2" s="1"/>
  <c r="R71" i="2"/>
  <c r="X54" i="2"/>
  <c r="AB54" i="2"/>
  <c r="AA54" i="2" s="1"/>
  <c r="R17" i="2"/>
  <c r="V17" i="2"/>
  <c r="U17" i="2" s="1"/>
  <c r="AA7" i="2"/>
  <c r="X19" i="2"/>
  <c r="X24" i="2"/>
  <c r="R70" i="2"/>
  <c r="V70" i="2"/>
  <c r="X117" i="2"/>
  <c r="AB117" i="2"/>
  <c r="AA117" i="2" s="1"/>
  <c r="X123" i="2"/>
  <c r="AB123" i="2"/>
  <c r="X61" i="2"/>
  <c r="AB61" i="2"/>
  <c r="AA61" i="2" s="1"/>
  <c r="V36" i="2"/>
  <c r="R36" i="2"/>
  <c r="V110" i="2"/>
  <c r="U110" i="2" s="1"/>
  <c r="R110" i="2"/>
  <c r="R76" i="2"/>
  <c r="V76" i="2"/>
  <c r="U76" i="2" s="1"/>
  <c r="R55" i="2"/>
  <c r="V55" i="2"/>
  <c r="U55" i="2" s="1"/>
  <c r="X106" i="2"/>
  <c r="AB106" i="2"/>
  <c r="AA106" i="2" s="1"/>
  <c r="R112" i="2"/>
  <c r="V112" i="2"/>
  <c r="U112" i="2" s="1"/>
  <c r="X87" i="2"/>
  <c r="AB87" i="2"/>
  <c r="AA87" i="2" s="1"/>
  <c r="R48" i="2"/>
  <c r="V48" i="2"/>
  <c r="R31" i="2"/>
  <c r="V31" i="2"/>
  <c r="U31" i="2" s="1"/>
  <c r="AB43" i="2"/>
  <c r="AA43" i="2" s="1"/>
  <c r="X43" i="2"/>
  <c r="X97" i="2"/>
  <c r="AB97" i="2"/>
  <c r="AB99" i="2"/>
  <c r="AA99" i="2" s="1"/>
  <c r="X99" i="2"/>
  <c r="R44" i="2"/>
  <c r="V44" i="2"/>
  <c r="X74" i="2"/>
  <c r="AB74" i="2"/>
  <c r="AA74" i="2" s="1"/>
  <c r="X59" i="2"/>
  <c r="AB59" i="2"/>
  <c r="AA59" i="2" s="1"/>
  <c r="R75" i="2"/>
  <c r="V75" i="2"/>
  <c r="U75" i="2" s="1"/>
  <c r="AB80" i="2"/>
  <c r="AA80" i="2" s="1"/>
  <c r="X80" i="2"/>
  <c r="AB51" i="2"/>
  <c r="AA51" i="2" s="1"/>
  <c r="X51" i="2"/>
  <c r="R64" i="2"/>
  <c r="V64" i="2"/>
  <c r="U64" i="2" s="1"/>
  <c r="AA26" i="2"/>
  <c r="AA29" i="2"/>
  <c r="AA21" i="2"/>
  <c r="AA16" i="2"/>
  <c r="AB115" i="2"/>
  <c r="AA115" i="2" s="1"/>
  <c r="X115" i="2"/>
  <c r="X101" i="2"/>
  <c r="AB101" i="2"/>
  <c r="AA101" i="2" s="1"/>
  <c r="AB38" i="2"/>
  <c r="AA38" i="2" s="1"/>
  <c r="X38" i="2"/>
  <c r="R24" i="2"/>
  <c r="V24" i="2"/>
  <c r="R123" i="2"/>
  <c r="V123" i="2"/>
  <c r="R102" i="2"/>
  <c r="V102" i="2"/>
  <c r="U102" i="2" s="1"/>
  <c r="AB125" i="2"/>
  <c r="AA125" i="2" s="1"/>
  <c r="X125" i="2"/>
  <c r="AB98" i="2"/>
  <c r="AA98" i="2" s="1"/>
  <c r="X98" i="2"/>
  <c r="T72" i="2"/>
  <c r="U72" i="2" s="1"/>
  <c r="R72" i="2"/>
  <c r="T51" i="2"/>
  <c r="U51" i="2" s="1"/>
  <c r="R51" i="2"/>
  <c r="R117" i="2"/>
  <c r="V117" i="2"/>
  <c r="U117" i="2" s="1"/>
  <c r="R85" i="2"/>
  <c r="V85" i="2"/>
  <c r="X112" i="2"/>
  <c r="AB112" i="2"/>
  <c r="AA112" i="2" s="1"/>
  <c r="X65" i="2"/>
  <c r="AB65" i="2"/>
  <c r="AA65" i="2" s="1"/>
  <c r="X48" i="2"/>
  <c r="AB48" i="2"/>
  <c r="R26" i="2"/>
  <c r="V26" i="2"/>
  <c r="U26" i="2" s="1"/>
  <c r="AB68" i="2"/>
  <c r="AA68" i="2" s="1"/>
  <c r="X68" i="2"/>
  <c r="X93" i="2"/>
  <c r="AB93" i="2"/>
  <c r="AA93" i="2" s="1"/>
  <c r="AB121" i="2"/>
  <c r="AA121" i="2" s="1"/>
  <c r="X121" i="2"/>
  <c r="X118" i="2"/>
  <c r="AB118" i="2"/>
  <c r="AA118" i="2" s="1"/>
  <c r="R58" i="2"/>
  <c r="V58" i="2"/>
  <c r="U58" i="2" s="1"/>
  <c r="X44" i="2"/>
  <c r="AB44" i="2"/>
  <c r="AA44" i="2" s="1"/>
  <c r="X20" i="2"/>
  <c r="AB20" i="2"/>
  <c r="AA20" i="2" s="1"/>
  <c r="U61" i="2"/>
  <c r="X75" i="2"/>
  <c r="AB75" i="2"/>
  <c r="AA75" i="2" s="1"/>
  <c r="X60" i="2"/>
  <c r="AB60" i="2"/>
  <c r="AA60" i="2" s="1"/>
  <c r="V79" i="2"/>
  <c r="U79" i="2" s="1"/>
  <c r="R79" i="2"/>
  <c r="X50" i="2"/>
  <c r="AB50" i="2"/>
  <c r="AA50" i="2" s="1"/>
  <c r="AB36" i="2"/>
  <c r="X36" i="2"/>
  <c r="X28" i="2"/>
  <c r="X64" i="2"/>
  <c r="AB64" i="2"/>
  <c r="AA64" i="2" s="1"/>
  <c r="R8" i="2"/>
  <c r="V8" i="2"/>
  <c r="U8" i="2" s="1"/>
  <c r="X26" i="2"/>
  <c r="X29" i="2"/>
  <c r="X16" i="2"/>
  <c r="AB9" i="2"/>
  <c r="AA9" i="2" s="1"/>
  <c r="X9" i="2"/>
  <c r="U66" i="2"/>
  <c r="R40" i="2"/>
  <c r="V40" i="2"/>
  <c r="AA22" i="2"/>
  <c r="AA31" i="2"/>
  <c r="AB12" i="2"/>
  <c r="R85" i="3"/>
  <c r="V85" i="3"/>
  <c r="U85" i="3" s="1"/>
  <c r="V55" i="3"/>
  <c r="U55" i="3" s="1"/>
  <c r="R55" i="3"/>
  <c r="T36" i="3"/>
  <c r="U36" i="3" s="1"/>
  <c r="R36" i="3"/>
  <c r="X109" i="3"/>
  <c r="AB109" i="3"/>
  <c r="AA109" i="3" s="1"/>
  <c r="AB121" i="3"/>
  <c r="AA121" i="3" s="1"/>
  <c r="X121" i="3"/>
  <c r="R25" i="3"/>
  <c r="V25" i="3"/>
  <c r="U25" i="3" s="1"/>
  <c r="X38" i="3"/>
  <c r="AB38" i="3"/>
  <c r="AA38" i="3" s="1"/>
  <c r="U53" i="3"/>
  <c r="R15" i="3"/>
  <c r="V15" i="3"/>
  <c r="U15" i="3" s="1"/>
  <c r="R51" i="3"/>
  <c r="V51" i="3"/>
  <c r="U51" i="3" s="1"/>
  <c r="X90" i="3"/>
  <c r="AB90" i="3"/>
  <c r="U109" i="3"/>
  <c r="X102" i="3"/>
  <c r="AB102" i="3"/>
  <c r="AA102" i="3" s="1"/>
  <c r="X57" i="3"/>
  <c r="AB57" i="3"/>
  <c r="AB49" i="3"/>
  <c r="AA49" i="3" s="1"/>
  <c r="X49" i="3"/>
  <c r="R53" i="3"/>
  <c r="T120" i="3"/>
  <c r="U120" i="3" s="1"/>
  <c r="R120" i="3"/>
  <c r="T98" i="3"/>
  <c r="U98" i="3" s="1"/>
  <c r="R98" i="3"/>
  <c r="R97" i="3"/>
  <c r="R57" i="3"/>
  <c r="V57" i="3"/>
  <c r="X106" i="3"/>
  <c r="AB106" i="3"/>
  <c r="AA106" i="3" s="1"/>
  <c r="R107" i="3"/>
  <c r="V107" i="3"/>
  <c r="U107" i="3" s="1"/>
  <c r="R109" i="3"/>
  <c r="AB59" i="3"/>
  <c r="AA59" i="3" s="1"/>
  <c r="X59" i="3"/>
  <c r="X26" i="3"/>
  <c r="AB26" i="3"/>
  <c r="AA26" i="3" s="1"/>
  <c r="AB115" i="3"/>
  <c r="AA115" i="3" s="1"/>
  <c r="X115" i="3"/>
  <c r="X68" i="3"/>
  <c r="AB68" i="3"/>
  <c r="AA68" i="3" s="1"/>
  <c r="AB99" i="3"/>
  <c r="AA99" i="3" s="1"/>
  <c r="X99" i="3"/>
  <c r="R43" i="3"/>
  <c r="V43" i="3"/>
  <c r="U43" i="3" s="1"/>
  <c r="R104" i="3"/>
  <c r="U63" i="3"/>
  <c r="X44" i="3"/>
  <c r="AB44" i="3"/>
  <c r="AA44" i="3" s="1"/>
  <c r="V28" i="3"/>
  <c r="R28" i="3"/>
  <c r="U103" i="3"/>
  <c r="X53" i="3"/>
  <c r="U17" i="3"/>
  <c r="AA43" i="3"/>
  <c r="X24" i="3"/>
  <c r="AB24" i="3"/>
  <c r="R22" i="3"/>
  <c r="AA72" i="3"/>
  <c r="X20" i="3"/>
  <c r="AB20" i="3"/>
  <c r="AA20" i="3" s="1"/>
  <c r="X40" i="3"/>
  <c r="R125" i="3"/>
  <c r="R90" i="3"/>
  <c r="V90" i="3"/>
  <c r="R101" i="3"/>
  <c r="V101" i="3"/>
  <c r="U101" i="3" s="1"/>
  <c r="X7" i="3"/>
  <c r="AB7" i="3"/>
  <c r="AB125" i="3"/>
  <c r="AA125" i="3" s="1"/>
  <c r="X125" i="3"/>
  <c r="X51" i="3"/>
  <c r="AB51" i="3"/>
  <c r="AA51" i="3" s="1"/>
  <c r="AB54" i="3"/>
  <c r="AA54" i="3" s="1"/>
  <c r="X54" i="3"/>
  <c r="R29" i="3"/>
  <c r="V29" i="3"/>
  <c r="U29" i="3" s="1"/>
  <c r="AA28" i="3"/>
  <c r="R123" i="3"/>
  <c r="V123" i="3"/>
  <c r="X85" i="3"/>
  <c r="AB85" i="3"/>
  <c r="AA85" i="3" s="1"/>
  <c r="X87" i="3"/>
  <c r="AB87" i="3"/>
  <c r="AA87" i="3" s="1"/>
  <c r="X114" i="3"/>
  <c r="AB114" i="3"/>
  <c r="AB80" i="3"/>
  <c r="AA80" i="3" s="1"/>
  <c r="X80" i="3"/>
  <c r="R24" i="3"/>
  <c r="V24" i="3"/>
  <c r="AA40" i="3"/>
  <c r="AB39" i="3"/>
  <c r="T115" i="3"/>
  <c r="U115" i="3" s="1"/>
  <c r="R115" i="3"/>
  <c r="R92" i="3"/>
  <c r="V92" i="3"/>
  <c r="U92" i="3" s="1"/>
  <c r="R77" i="3"/>
  <c r="V77" i="3"/>
  <c r="U77" i="3" s="1"/>
  <c r="R72" i="3"/>
  <c r="V72" i="3"/>
  <c r="U72" i="3" s="1"/>
  <c r="X107" i="3"/>
  <c r="AB107" i="3"/>
  <c r="AA107" i="3" s="1"/>
  <c r="X108" i="3"/>
  <c r="AB108" i="3"/>
  <c r="AA108" i="3" s="1"/>
  <c r="V59" i="3"/>
  <c r="U59" i="3" s="1"/>
  <c r="R59" i="3"/>
  <c r="X21" i="3"/>
  <c r="AB21" i="3"/>
  <c r="AA21" i="3" s="1"/>
  <c r="X97" i="3"/>
  <c r="AB97" i="3"/>
  <c r="AB78" i="3"/>
  <c r="AA78" i="3" s="1"/>
  <c r="X78" i="3"/>
  <c r="X73" i="3"/>
  <c r="AB73" i="3"/>
  <c r="AA73" i="3" s="1"/>
  <c r="AB105" i="3"/>
  <c r="AA105" i="3" s="1"/>
  <c r="X105" i="3"/>
  <c r="U104" i="3"/>
  <c r="U58" i="3"/>
  <c r="V37" i="3"/>
  <c r="R37" i="3"/>
  <c r="R103" i="3"/>
  <c r="X70" i="3"/>
  <c r="R17" i="3"/>
  <c r="X43" i="3"/>
  <c r="R42" i="3"/>
  <c r="V42" i="3"/>
  <c r="X72" i="3"/>
  <c r="X30" i="3"/>
  <c r="AB35" i="3"/>
  <c r="X34" i="3"/>
  <c r="U8" i="3"/>
  <c r="V84" i="3"/>
  <c r="R84" i="3"/>
  <c r="T64" i="3"/>
  <c r="U64" i="3" s="1"/>
  <c r="R64" i="3"/>
  <c r="AB104" i="3"/>
  <c r="AA104" i="3" s="1"/>
  <c r="X104" i="3"/>
  <c r="X67" i="3"/>
  <c r="AB67" i="3"/>
  <c r="AA67" i="3" s="1"/>
  <c r="R102" i="3"/>
  <c r="V102" i="3"/>
  <c r="U102" i="3" s="1"/>
  <c r="X123" i="3"/>
  <c r="AB123" i="3"/>
  <c r="AB64" i="3"/>
  <c r="AA64" i="3" s="1"/>
  <c r="X64" i="3"/>
  <c r="AB75" i="3"/>
  <c r="AA75" i="3" s="1"/>
  <c r="X75" i="3"/>
  <c r="AB110" i="3"/>
  <c r="AA110" i="3" s="1"/>
  <c r="X110" i="3"/>
  <c r="T110" i="3"/>
  <c r="U110" i="3" s="1"/>
  <c r="R110" i="3"/>
  <c r="R87" i="3"/>
  <c r="V87" i="3"/>
  <c r="U87" i="3" s="1"/>
  <c r="U114" i="3"/>
  <c r="X76" i="3"/>
  <c r="AB76" i="3"/>
  <c r="AA76" i="3" s="1"/>
  <c r="R95" i="3"/>
  <c r="V95" i="3"/>
  <c r="R86" i="3"/>
  <c r="V86" i="3"/>
  <c r="U86" i="3" s="1"/>
  <c r="R67" i="3"/>
  <c r="V67" i="3"/>
  <c r="U67" i="3" s="1"/>
  <c r="R117" i="3"/>
  <c r="V117" i="3"/>
  <c r="U117" i="3" s="1"/>
  <c r="R100" i="3"/>
  <c r="V100" i="3"/>
  <c r="U100" i="3" s="1"/>
  <c r="V65" i="3"/>
  <c r="U65" i="3" s="1"/>
  <c r="R65" i="3"/>
  <c r="V49" i="3"/>
  <c r="U49" i="3" s="1"/>
  <c r="R49" i="3"/>
  <c r="R118" i="3"/>
  <c r="V118" i="3"/>
  <c r="U118" i="3" s="1"/>
  <c r="R91" i="3"/>
  <c r="V91" i="3"/>
  <c r="U91" i="3" s="1"/>
  <c r="V54" i="3"/>
  <c r="U54" i="3" s="1"/>
  <c r="R54" i="3"/>
  <c r="R81" i="3"/>
  <c r="V81" i="3"/>
  <c r="U81" i="3" s="1"/>
  <c r="X16" i="3"/>
  <c r="AB16" i="3"/>
  <c r="AA16" i="3" s="1"/>
  <c r="AB98" i="3"/>
  <c r="AA98" i="3" s="1"/>
  <c r="X98" i="3"/>
  <c r="X93" i="3"/>
  <c r="AB93" i="3"/>
  <c r="AA93" i="3" s="1"/>
  <c r="AB79" i="3"/>
  <c r="AA79" i="3" s="1"/>
  <c r="X79" i="3"/>
  <c r="AB111" i="3"/>
  <c r="AA111" i="3" s="1"/>
  <c r="X111" i="3"/>
  <c r="R61" i="3"/>
  <c r="V61" i="3"/>
  <c r="U61" i="3" s="1"/>
  <c r="R34" i="3"/>
  <c r="V34" i="3"/>
  <c r="R71" i="3"/>
  <c r="V71" i="3"/>
  <c r="U71" i="3" s="1"/>
  <c r="R58" i="3"/>
  <c r="AA70" i="3"/>
  <c r="X14" i="3"/>
  <c r="AB14" i="3"/>
  <c r="R66" i="3"/>
  <c r="V66" i="3"/>
  <c r="U66" i="3" s="1"/>
  <c r="U40" i="3"/>
  <c r="V39" i="3"/>
  <c r="R50" i="3"/>
  <c r="V50" i="3"/>
  <c r="U50" i="3" s="1"/>
  <c r="X42" i="3"/>
  <c r="AB42" i="3"/>
  <c r="AA74" i="3"/>
  <c r="X55" i="3"/>
  <c r="AA30" i="3"/>
  <c r="R19" i="3"/>
  <c r="V19" i="3"/>
  <c r="AB33" i="3"/>
  <c r="AA34" i="3"/>
  <c r="R8" i="3"/>
  <c r="R112" i="3"/>
  <c r="V112" i="3"/>
  <c r="U112" i="3" s="1"/>
  <c r="V48" i="3"/>
  <c r="R48" i="3"/>
  <c r="X52" i="3"/>
  <c r="AB52" i="3"/>
  <c r="AA52" i="3" s="1"/>
  <c r="X92" i="3"/>
  <c r="AB92" i="3"/>
  <c r="AA92" i="3" s="1"/>
  <c r="AA88" i="3"/>
  <c r="AA84" i="3"/>
  <c r="U97" i="3"/>
  <c r="X112" i="3"/>
  <c r="AB112" i="3"/>
  <c r="AA112" i="3" s="1"/>
  <c r="R106" i="3"/>
  <c r="V106" i="3"/>
  <c r="U106" i="3" s="1"/>
  <c r="V70" i="3"/>
  <c r="R70" i="3"/>
  <c r="X101" i="3"/>
  <c r="AB101" i="3"/>
  <c r="AA101" i="3" s="1"/>
  <c r="X31" i="3"/>
  <c r="AB31" i="3"/>
  <c r="AA31" i="3" s="1"/>
  <c r="X63" i="3"/>
  <c r="AB63" i="3"/>
  <c r="AB65" i="3"/>
  <c r="AA65" i="3" s="1"/>
  <c r="X65" i="3"/>
  <c r="X29" i="3"/>
  <c r="AB29" i="3"/>
  <c r="AA29" i="3" s="1"/>
  <c r="X88" i="3"/>
  <c r="X15" i="3"/>
  <c r="AB15" i="3"/>
  <c r="AA15" i="3" s="1"/>
  <c r="U22" i="3"/>
  <c r="X77" i="3"/>
  <c r="R20" i="3"/>
  <c r="V20" i="3"/>
  <c r="U20" i="3" s="1"/>
  <c r="R108" i="3"/>
  <c r="V108" i="3"/>
  <c r="U108" i="3" s="1"/>
  <c r="T78" i="3"/>
  <c r="U78" i="3" s="1"/>
  <c r="R78" i="3"/>
  <c r="R114" i="3"/>
  <c r="T75" i="3"/>
  <c r="U75" i="3" s="1"/>
  <c r="R75" i="3"/>
  <c r="X95" i="3"/>
  <c r="AB95" i="3"/>
  <c r="X86" i="3"/>
  <c r="AB86" i="3"/>
  <c r="AA86" i="3" s="1"/>
  <c r="X117" i="3"/>
  <c r="AB117" i="3"/>
  <c r="AA117" i="3" s="1"/>
  <c r="X100" i="3"/>
  <c r="AB100" i="3"/>
  <c r="AA100" i="3" s="1"/>
  <c r="V60" i="3"/>
  <c r="U60" i="3" s="1"/>
  <c r="R60" i="3"/>
  <c r="X118" i="3"/>
  <c r="AB118" i="3"/>
  <c r="AA118" i="3" s="1"/>
  <c r="X91" i="3"/>
  <c r="AB91" i="3"/>
  <c r="AA91" i="3" s="1"/>
  <c r="AB48" i="3"/>
  <c r="X48" i="3"/>
  <c r="X81" i="3"/>
  <c r="AB81" i="3"/>
  <c r="AA81" i="3" s="1"/>
  <c r="X103" i="3"/>
  <c r="AB103" i="3"/>
  <c r="AA103" i="3" s="1"/>
  <c r="AB120" i="3"/>
  <c r="X120" i="3"/>
  <c r="X124" i="3"/>
  <c r="AB124" i="3"/>
  <c r="AA124" i="3" s="1"/>
  <c r="AB116" i="3"/>
  <c r="AA116" i="3" s="1"/>
  <c r="X116" i="3"/>
  <c r="X61" i="3"/>
  <c r="AB61" i="3"/>
  <c r="AA61" i="3" s="1"/>
  <c r="V30" i="3"/>
  <c r="U30" i="3" s="1"/>
  <c r="R30" i="3"/>
  <c r="X71" i="3"/>
  <c r="AB71" i="3"/>
  <c r="AA71" i="3" s="1"/>
  <c r="X58" i="3"/>
  <c r="AB58" i="3"/>
  <c r="AA58" i="3" s="1"/>
  <c r="V13" i="3"/>
  <c r="R13" i="3"/>
  <c r="R38" i="3"/>
  <c r="V38" i="3"/>
  <c r="U38" i="3" s="1"/>
  <c r="R14" i="3"/>
  <c r="V14" i="3"/>
  <c r="U14" i="3" s="1"/>
  <c r="X66" i="3"/>
  <c r="AB66" i="3"/>
  <c r="AA66" i="3" s="1"/>
  <c r="X50" i="3"/>
  <c r="AB50" i="3"/>
  <c r="AA50" i="3" s="1"/>
  <c r="X74" i="3"/>
  <c r="AA55" i="3"/>
  <c r="X19" i="3"/>
  <c r="AB19" i="3"/>
  <c r="X84" i="3"/>
  <c r="X25" i="3"/>
  <c r="AX122" i="5" l="1"/>
  <c r="Z12" i="6"/>
  <c r="Y12" i="6" s="1"/>
  <c r="AX6" i="5"/>
  <c r="Z9" i="6"/>
  <c r="Y9" i="6" s="1"/>
  <c r="AQ122" i="5"/>
  <c r="V12" i="6"/>
  <c r="U12" i="6" s="1"/>
  <c r="AQ6" i="5"/>
  <c r="V9" i="6"/>
  <c r="U9" i="6" s="1"/>
  <c r="AJ122" i="5"/>
  <c r="R12" i="6"/>
  <c r="Q12" i="6" s="1"/>
  <c r="R9" i="6"/>
  <c r="Q9" i="6" s="1"/>
  <c r="AJ6" i="5"/>
  <c r="AC122" i="5"/>
  <c r="N12" i="6"/>
  <c r="M12" i="6" s="1"/>
  <c r="AC6" i="5"/>
  <c r="N9" i="6"/>
  <c r="M9" i="6" s="1"/>
  <c r="W11" i="5"/>
  <c r="V11" i="5" s="1"/>
  <c r="V122" i="5"/>
  <c r="J12" i="6"/>
  <c r="I12" i="6" s="1"/>
  <c r="V6" i="5"/>
  <c r="J9" i="6"/>
  <c r="I9" i="6" s="1"/>
  <c r="O89" i="5"/>
  <c r="O83" i="5"/>
  <c r="O41" i="5"/>
  <c r="O113" i="5"/>
  <c r="O39" i="5"/>
  <c r="O47" i="5"/>
  <c r="O33" i="5"/>
  <c r="O122" i="5"/>
  <c r="F12" i="6"/>
  <c r="E12" i="6" s="1"/>
  <c r="O62" i="5"/>
  <c r="O35" i="5"/>
  <c r="O56" i="5"/>
  <c r="O27" i="5"/>
  <c r="O69" i="5"/>
  <c r="O12" i="5"/>
  <c r="O119" i="5"/>
  <c r="O94" i="5"/>
  <c r="O96" i="5"/>
  <c r="O23" i="5"/>
  <c r="O18" i="5"/>
  <c r="BF32" i="5"/>
  <c r="BI82" i="5"/>
  <c r="BF46" i="5"/>
  <c r="BI46" i="5"/>
  <c r="BF11" i="5"/>
  <c r="BI32" i="5"/>
  <c r="BI11" i="5"/>
  <c r="BF82" i="5"/>
  <c r="AN32" i="5"/>
  <c r="S82" i="5"/>
  <c r="BB11" i="5"/>
  <c r="AG82" i="5"/>
  <c r="AD11" i="5"/>
  <c r="AC11" i="5" s="1"/>
  <c r="BB46" i="5"/>
  <c r="AG46" i="5"/>
  <c r="AN11" i="5"/>
  <c r="AK82" i="5"/>
  <c r="AJ82" i="5" s="1"/>
  <c r="Z32" i="5"/>
  <c r="AK11" i="5"/>
  <c r="AJ11" i="5" s="1"/>
  <c r="AR82" i="5"/>
  <c r="AQ82" i="5" s="1"/>
  <c r="BB82" i="5"/>
  <c r="AR32" i="5"/>
  <c r="AQ32" i="5" s="1"/>
  <c r="AY82" i="5"/>
  <c r="AX82" i="5" s="1"/>
  <c r="AU11" i="5"/>
  <c r="AY46" i="5"/>
  <c r="AX46" i="5" s="1"/>
  <c r="AD46" i="5"/>
  <c r="AC46" i="5" s="1"/>
  <c r="W46" i="5"/>
  <c r="V46" i="5" s="1"/>
  <c r="W32" i="5"/>
  <c r="V32" i="5" s="1"/>
  <c r="AD82" i="5"/>
  <c r="AC82" i="5" s="1"/>
  <c r="AU46" i="5"/>
  <c r="AY11" i="5"/>
  <c r="AX11" i="5" s="1"/>
  <c r="AG11" i="5"/>
  <c r="AN82" i="5"/>
  <c r="AK32" i="5"/>
  <c r="AJ32" i="5" s="1"/>
  <c r="BB32" i="5"/>
  <c r="AG32" i="5"/>
  <c r="AN46" i="5"/>
  <c r="AR11" i="5"/>
  <c r="AQ11" i="5" s="1"/>
  <c r="Z11" i="5"/>
  <c r="AY32" i="5"/>
  <c r="AX32" i="5" s="1"/>
  <c r="AU82" i="5"/>
  <c r="Z46" i="5"/>
  <c r="W82" i="5"/>
  <c r="V82" i="5" s="1"/>
  <c r="AU32" i="5"/>
  <c r="AR46" i="5"/>
  <c r="AQ46" i="5" s="1"/>
  <c r="Z82" i="5"/>
  <c r="AD32" i="5"/>
  <c r="AC32" i="5" s="1"/>
  <c r="AK46" i="5"/>
  <c r="AJ46" i="5" s="1"/>
  <c r="P32" i="5"/>
  <c r="S10" i="5"/>
  <c r="P46" i="5"/>
  <c r="S45" i="5"/>
  <c r="P11" i="5"/>
  <c r="O11" i="5" s="1"/>
  <c r="P82" i="5"/>
  <c r="V12" i="2"/>
  <c r="AB47" i="2"/>
  <c r="AA48" i="2"/>
  <c r="U85" i="2"/>
  <c r="V83" i="2"/>
  <c r="U36" i="2"/>
  <c r="V35" i="2"/>
  <c r="U29" i="2"/>
  <c r="V27" i="2"/>
  <c r="U63" i="2"/>
  <c r="V62" i="2"/>
  <c r="AB23" i="2"/>
  <c r="AA120" i="2"/>
  <c r="AB119" i="2"/>
  <c r="AA84" i="2"/>
  <c r="AB83" i="2"/>
  <c r="AA70" i="2"/>
  <c r="AB69" i="2"/>
  <c r="V96" i="2"/>
  <c r="V69" i="2"/>
  <c r="U70" i="2"/>
  <c r="AA114" i="2"/>
  <c r="AB113" i="2"/>
  <c r="V113" i="2"/>
  <c r="AA34" i="2"/>
  <c r="AB33" i="2"/>
  <c r="U123" i="2"/>
  <c r="V122" i="2"/>
  <c r="AA90" i="2"/>
  <c r="AB89" i="2"/>
  <c r="AB18" i="2"/>
  <c r="U95" i="2"/>
  <c r="V94" i="2"/>
  <c r="V39" i="2"/>
  <c r="V32" i="2" s="1"/>
  <c r="U40" i="2"/>
  <c r="AA97" i="2"/>
  <c r="AB96" i="2"/>
  <c r="V47" i="2"/>
  <c r="U48" i="2"/>
  <c r="AA123" i="2"/>
  <c r="AB122" i="2"/>
  <c r="U120" i="2"/>
  <c r="V119" i="2"/>
  <c r="AA42" i="2"/>
  <c r="AB41" i="2"/>
  <c r="U57" i="2"/>
  <c r="V56" i="2"/>
  <c r="AA36" i="2"/>
  <c r="AB35" i="2"/>
  <c r="U24" i="2"/>
  <c r="V23" i="2"/>
  <c r="U19" i="2"/>
  <c r="V18" i="2"/>
  <c r="U7" i="2"/>
  <c r="V6" i="2"/>
  <c r="AA57" i="2"/>
  <c r="AB56" i="2"/>
  <c r="AB39" i="2"/>
  <c r="AA40" i="2"/>
  <c r="U44" i="2"/>
  <c r="V41" i="2"/>
  <c r="AB6" i="2"/>
  <c r="AA30" i="2"/>
  <c r="AB27" i="2"/>
  <c r="U90" i="2"/>
  <c r="V89" i="2"/>
  <c r="AA95" i="2"/>
  <c r="AB94" i="2"/>
  <c r="AA63" i="2"/>
  <c r="AB62" i="2"/>
  <c r="AA7" i="3"/>
  <c r="AB6" i="3"/>
  <c r="U57" i="3"/>
  <c r="V56" i="3"/>
  <c r="AA19" i="3"/>
  <c r="AB18" i="3"/>
  <c r="V96" i="3"/>
  <c r="V33" i="3"/>
  <c r="U34" i="3"/>
  <c r="U28" i="3"/>
  <c r="V27" i="3"/>
  <c r="U13" i="3"/>
  <c r="V12" i="3"/>
  <c r="U70" i="3"/>
  <c r="V69" i="3"/>
  <c r="AB69" i="3"/>
  <c r="U84" i="3"/>
  <c r="V83" i="3"/>
  <c r="U42" i="3"/>
  <c r="V41" i="3"/>
  <c r="U24" i="3"/>
  <c r="V23" i="3"/>
  <c r="AB27" i="3"/>
  <c r="AA90" i="3"/>
  <c r="AB89" i="3"/>
  <c r="AA14" i="3"/>
  <c r="AB12" i="3"/>
  <c r="V122" i="3"/>
  <c r="U123" i="3"/>
  <c r="AA63" i="3"/>
  <c r="AB62" i="3"/>
  <c r="AB83" i="3"/>
  <c r="V113" i="3"/>
  <c r="AA123" i="3"/>
  <c r="AB122" i="3"/>
  <c r="U37" i="3"/>
  <c r="V35" i="3"/>
  <c r="AA120" i="3"/>
  <c r="AB119" i="3"/>
  <c r="AA48" i="3"/>
  <c r="AB47" i="3"/>
  <c r="AB32" i="3"/>
  <c r="AA42" i="3"/>
  <c r="AB41" i="3"/>
  <c r="U90" i="3"/>
  <c r="V89" i="3"/>
  <c r="V62" i="3"/>
  <c r="AA57" i="3"/>
  <c r="AB56" i="3"/>
  <c r="AA97" i="3"/>
  <c r="AB96" i="3"/>
  <c r="AA114" i="3"/>
  <c r="AB113" i="3"/>
  <c r="AA24" i="3"/>
  <c r="AB23" i="3"/>
  <c r="AA95" i="3"/>
  <c r="AB94" i="3"/>
  <c r="U48" i="3"/>
  <c r="V47" i="3"/>
  <c r="U19" i="3"/>
  <c r="V18" i="3"/>
  <c r="U95" i="3"/>
  <c r="V94" i="3"/>
  <c r="O32" i="5" l="1"/>
  <c r="O82" i="5"/>
  <c r="O46" i="5"/>
  <c r="BI10" i="5"/>
  <c r="BI45" i="5"/>
  <c r="BF45" i="5"/>
  <c r="W10" i="5"/>
  <c r="BF10" i="5"/>
  <c r="AR10" i="5"/>
  <c r="AR45" i="5"/>
  <c r="AD10" i="5"/>
  <c r="AG45" i="5"/>
  <c r="BB10" i="5"/>
  <c r="AU45" i="5"/>
  <c r="AD45" i="5"/>
  <c r="AG10" i="5"/>
  <c r="AU10" i="5"/>
  <c r="BB45" i="5"/>
  <c r="AK45" i="5"/>
  <c r="Z45" i="5"/>
  <c r="AN45" i="5"/>
  <c r="AK10" i="5"/>
  <c r="Z10" i="5"/>
  <c r="AY10" i="5"/>
  <c r="W45" i="5"/>
  <c r="AY45" i="5"/>
  <c r="AN10" i="5"/>
  <c r="P45" i="5"/>
  <c r="P10" i="5"/>
  <c r="S128" i="5"/>
  <c r="V11" i="2"/>
  <c r="V10" i="2" s="1"/>
  <c r="AB11" i="2"/>
  <c r="V82" i="2"/>
  <c r="AB82" i="2"/>
  <c r="AB32" i="2"/>
  <c r="V46" i="2"/>
  <c r="AB46" i="2"/>
  <c r="V11" i="3"/>
  <c r="V82" i="3"/>
  <c r="V46" i="3"/>
  <c r="AB46" i="3"/>
  <c r="AB11" i="3"/>
  <c r="AB10" i="3" s="1"/>
  <c r="AB82" i="3"/>
  <c r="V32" i="3"/>
  <c r="W128" i="5" l="1"/>
  <c r="U128" i="5" s="1"/>
  <c r="AX45" i="5"/>
  <c r="Z11" i="6"/>
  <c r="Y11" i="6" s="1"/>
  <c r="AQ45" i="5"/>
  <c r="V11" i="6"/>
  <c r="U11" i="6" s="1"/>
  <c r="AJ45" i="5"/>
  <c r="R11" i="6"/>
  <c r="Q11" i="6" s="1"/>
  <c r="AC45" i="5"/>
  <c r="N11" i="6"/>
  <c r="M11" i="6" s="1"/>
  <c r="V45" i="5"/>
  <c r="J11" i="6"/>
  <c r="I11" i="6" s="1"/>
  <c r="O45" i="5"/>
  <c r="F11" i="6"/>
  <c r="E11" i="6" s="1"/>
  <c r="AX10" i="5"/>
  <c r="Z10" i="6"/>
  <c r="AQ10" i="5"/>
  <c r="V10" i="6"/>
  <c r="AJ10" i="5"/>
  <c r="R10" i="6"/>
  <c r="AC10" i="5"/>
  <c r="N10" i="6"/>
  <c r="V10" i="5"/>
  <c r="J10" i="6"/>
  <c r="F10" i="6"/>
  <c r="O10" i="5"/>
  <c r="BF128" i="5"/>
  <c r="BD128" i="5" s="1"/>
  <c r="BI128" i="5"/>
  <c r="BG128" i="5" s="1"/>
  <c r="AY128" i="5"/>
  <c r="AR128" i="5"/>
  <c r="AU128" i="5"/>
  <c r="AD128" i="5"/>
  <c r="AK128" i="5"/>
  <c r="BB128" i="5"/>
  <c r="AN128" i="5"/>
  <c r="AG128" i="5"/>
  <c r="Z128" i="5"/>
  <c r="P128" i="5"/>
  <c r="Q128" i="5"/>
  <c r="S130" i="5"/>
  <c r="Q130" i="5" s="1"/>
  <c r="AB10" i="2"/>
  <c r="V45" i="2"/>
  <c r="AB45" i="2"/>
  <c r="AB45" i="3"/>
  <c r="V45" i="3"/>
  <c r="V10" i="3"/>
  <c r="Z14" i="6" l="1"/>
  <c r="Y14" i="6" s="1"/>
  <c r="Y10" i="6"/>
  <c r="V14" i="6"/>
  <c r="U14" i="6" s="1"/>
  <c r="U10" i="6"/>
  <c r="R14" i="6"/>
  <c r="Q14" i="6" s="1"/>
  <c r="Q10" i="6"/>
  <c r="N14" i="6"/>
  <c r="M14" i="6" s="1"/>
  <c r="M10" i="6"/>
  <c r="J14" i="6"/>
  <c r="I14" i="6" s="1"/>
  <c r="I10" i="6"/>
  <c r="E10" i="6"/>
  <c r="F14" i="6"/>
  <c r="Z130" i="5"/>
  <c r="AG130" i="5" s="1"/>
  <c r="AZ128" i="5"/>
  <c r="AW128" i="5"/>
  <c r="AE128" i="5"/>
  <c r="AB128" i="5"/>
  <c r="AP128" i="5"/>
  <c r="X128" i="5"/>
  <c r="AS128" i="5"/>
  <c r="AI128" i="5"/>
  <c r="AL128" i="5"/>
  <c r="P130" i="5"/>
  <c r="N128" i="5"/>
  <c r="AB132" i="2"/>
  <c r="B24" i="4"/>
  <c r="B23" i="4"/>
  <c r="B22" i="4"/>
  <c r="H24" i="4"/>
  <c r="K23" i="4" s="1"/>
  <c r="H23" i="4"/>
  <c r="H22" i="4"/>
  <c r="C34" i="4"/>
  <c r="C33" i="4"/>
  <c r="C32" i="4"/>
  <c r="C31" i="4"/>
  <c r="C30" i="4"/>
  <c r="F15" i="4"/>
  <c r="D15" i="4"/>
  <c r="G11" i="4"/>
  <c r="G16" i="4" s="1"/>
  <c r="F11" i="4"/>
  <c r="F16" i="4" s="1"/>
  <c r="F17" i="6" l="1"/>
  <c r="E14" i="6"/>
  <c r="AE130" i="5"/>
  <c r="AN130" i="5"/>
  <c r="X130" i="5"/>
  <c r="N130" i="5"/>
  <c r="W130" i="5"/>
  <c r="E22" i="4"/>
  <c r="E24" i="4" s="1"/>
  <c r="E23" i="4"/>
  <c r="K22" i="4"/>
  <c r="K24" i="4"/>
  <c r="J25" i="4"/>
  <c r="D14" i="4" s="1"/>
  <c r="D11" i="4" s="1"/>
  <c r="D16" i="4" s="1"/>
  <c r="J17" i="6" l="1"/>
  <c r="E17" i="6"/>
  <c r="AL130" i="5"/>
  <c r="AU130" i="5"/>
  <c r="U130" i="5"/>
  <c r="AD130" i="5"/>
  <c r="D25" i="4"/>
  <c r="E14" i="4" s="1"/>
  <c r="E11" i="4" s="1"/>
  <c r="E16" i="4" s="1"/>
  <c r="K125" i="3"/>
  <c r="J125" i="3"/>
  <c r="M125" i="3" s="1"/>
  <c r="K124" i="3"/>
  <c r="J124" i="3"/>
  <c r="M124" i="3" s="1"/>
  <c r="M123" i="3"/>
  <c r="L123" i="3" s="1"/>
  <c r="K123" i="3"/>
  <c r="J123" i="3"/>
  <c r="N122" i="3"/>
  <c r="M121" i="3"/>
  <c r="L121" i="3" s="1"/>
  <c r="K121" i="3"/>
  <c r="J121" i="3"/>
  <c r="M120" i="3"/>
  <c r="N120" i="3" s="1"/>
  <c r="L120" i="3"/>
  <c r="K120" i="3"/>
  <c r="J120" i="3"/>
  <c r="N119" i="3"/>
  <c r="M118" i="3"/>
  <c r="N118" i="3" s="1"/>
  <c r="L118" i="3"/>
  <c r="K118" i="3"/>
  <c r="J118" i="3"/>
  <c r="M117" i="3"/>
  <c r="N117" i="3" s="1"/>
  <c r="K117" i="3"/>
  <c r="L117" i="3" s="1"/>
  <c r="J117" i="3"/>
  <c r="K116" i="3"/>
  <c r="J116" i="3"/>
  <c r="M116" i="3" s="1"/>
  <c r="K115" i="3"/>
  <c r="J115" i="3"/>
  <c r="M115" i="3" s="1"/>
  <c r="K114" i="3"/>
  <c r="J114" i="3"/>
  <c r="M114" i="3" s="1"/>
  <c r="N113" i="3"/>
  <c r="K112" i="3"/>
  <c r="J112" i="3"/>
  <c r="M112" i="3" s="1"/>
  <c r="M111" i="3"/>
  <c r="L111" i="3" s="1"/>
  <c r="K111" i="3"/>
  <c r="J111" i="3"/>
  <c r="M110" i="3"/>
  <c r="N110" i="3" s="1"/>
  <c r="L110" i="3"/>
  <c r="K110" i="3"/>
  <c r="J110" i="3"/>
  <c r="M109" i="3"/>
  <c r="N109" i="3" s="1"/>
  <c r="K109" i="3"/>
  <c r="L109" i="3" s="1"/>
  <c r="J109" i="3"/>
  <c r="K108" i="3"/>
  <c r="J108" i="3"/>
  <c r="M108" i="3" s="1"/>
  <c r="K107" i="3"/>
  <c r="J107" i="3"/>
  <c r="M107" i="3" s="1"/>
  <c r="K106" i="3"/>
  <c r="J106" i="3"/>
  <c r="M106" i="3" s="1"/>
  <c r="M105" i="3"/>
  <c r="L105" i="3" s="1"/>
  <c r="K105" i="3"/>
  <c r="J105" i="3"/>
  <c r="M104" i="3"/>
  <c r="N104" i="3" s="1"/>
  <c r="L104" i="3"/>
  <c r="K104" i="3"/>
  <c r="J104" i="3"/>
  <c r="M103" i="3"/>
  <c r="N103" i="3" s="1"/>
  <c r="K103" i="3"/>
  <c r="L103" i="3" s="1"/>
  <c r="J103" i="3"/>
  <c r="K102" i="3"/>
  <c r="J102" i="3"/>
  <c r="M102" i="3" s="1"/>
  <c r="K101" i="3"/>
  <c r="J101" i="3"/>
  <c r="M101" i="3" s="1"/>
  <c r="K100" i="3"/>
  <c r="J100" i="3"/>
  <c r="M100" i="3" s="1"/>
  <c r="M99" i="3"/>
  <c r="L99" i="3" s="1"/>
  <c r="K99" i="3"/>
  <c r="J99" i="3"/>
  <c r="M98" i="3"/>
  <c r="N98" i="3" s="1"/>
  <c r="L98" i="3"/>
  <c r="K98" i="3"/>
  <c r="J98" i="3"/>
  <c r="K97" i="3"/>
  <c r="J97" i="3"/>
  <c r="M97" i="3" s="1"/>
  <c r="N96" i="3"/>
  <c r="K95" i="3"/>
  <c r="J95" i="3"/>
  <c r="M95" i="3" s="1"/>
  <c r="N94" i="3"/>
  <c r="K93" i="3"/>
  <c r="J93" i="3"/>
  <c r="M93" i="3" s="1"/>
  <c r="K92" i="3"/>
  <c r="J92" i="3"/>
  <c r="M92" i="3" s="1"/>
  <c r="K91" i="3"/>
  <c r="J91" i="3"/>
  <c r="M91" i="3" s="1"/>
  <c r="K90" i="3"/>
  <c r="J90" i="3"/>
  <c r="M90" i="3" s="1"/>
  <c r="N89" i="3"/>
  <c r="K88" i="3"/>
  <c r="J88" i="3"/>
  <c r="M88" i="3" s="1"/>
  <c r="M87" i="3"/>
  <c r="L87" i="3" s="1"/>
  <c r="K87" i="3"/>
  <c r="J87" i="3"/>
  <c r="M86" i="3"/>
  <c r="N86" i="3" s="1"/>
  <c r="L86" i="3"/>
  <c r="K86" i="3"/>
  <c r="J86" i="3"/>
  <c r="K85" i="3"/>
  <c r="J85" i="3"/>
  <c r="M85" i="3" s="1"/>
  <c r="K84" i="3"/>
  <c r="J84" i="3"/>
  <c r="M84" i="3" s="1"/>
  <c r="N83" i="3"/>
  <c r="N82" i="3"/>
  <c r="K81" i="3"/>
  <c r="J81" i="3"/>
  <c r="M81" i="3" s="1"/>
  <c r="K80" i="3"/>
  <c r="J80" i="3"/>
  <c r="M80" i="3" s="1"/>
  <c r="K79" i="3"/>
  <c r="J79" i="3"/>
  <c r="M79" i="3" s="1"/>
  <c r="K78" i="3"/>
  <c r="J78" i="3"/>
  <c r="M78" i="3" s="1"/>
  <c r="M77" i="3"/>
  <c r="L77" i="3" s="1"/>
  <c r="K77" i="3"/>
  <c r="J77" i="3"/>
  <c r="M76" i="3"/>
  <c r="N76" i="3" s="1"/>
  <c r="L76" i="3"/>
  <c r="K76" i="3"/>
  <c r="J76" i="3"/>
  <c r="K75" i="3"/>
  <c r="J75" i="3"/>
  <c r="M75" i="3" s="1"/>
  <c r="K74" i="3"/>
  <c r="J74" i="3"/>
  <c r="M74" i="3" s="1"/>
  <c r="K73" i="3"/>
  <c r="J73" i="3"/>
  <c r="M73" i="3" s="1"/>
  <c r="K72" i="3"/>
  <c r="J72" i="3"/>
  <c r="M72" i="3" s="1"/>
  <c r="M71" i="3"/>
  <c r="L71" i="3" s="1"/>
  <c r="K71" i="3"/>
  <c r="J71" i="3"/>
  <c r="M70" i="3"/>
  <c r="N70" i="3" s="1"/>
  <c r="L70" i="3"/>
  <c r="K70" i="3"/>
  <c r="J70" i="3"/>
  <c r="N69" i="3"/>
  <c r="M68" i="3"/>
  <c r="N68" i="3" s="1"/>
  <c r="L68" i="3"/>
  <c r="K68" i="3"/>
  <c r="J68" i="3"/>
  <c r="K67" i="3"/>
  <c r="J67" i="3"/>
  <c r="M67" i="3" s="1"/>
  <c r="K66" i="3"/>
  <c r="J66" i="3"/>
  <c r="M66" i="3" s="1"/>
  <c r="K65" i="3"/>
  <c r="J65" i="3"/>
  <c r="M65" i="3" s="1"/>
  <c r="K64" i="3"/>
  <c r="J64" i="3"/>
  <c r="M64" i="3" s="1"/>
  <c r="M63" i="3"/>
  <c r="L63" i="3" s="1"/>
  <c r="K63" i="3"/>
  <c r="J63" i="3"/>
  <c r="N62" i="3"/>
  <c r="M61" i="3"/>
  <c r="L61" i="3" s="1"/>
  <c r="K61" i="3"/>
  <c r="J61" i="3"/>
  <c r="M60" i="3"/>
  <c r="N60" i="3" s="1"/>
  <c r="L60" i="3"/>
  <c r="K60" i="3"/>
  <c r="J60" i="3"/>
  <c r="K59" i="3"/>
  <c r="J59" i="3"/>
  <c r="M59" i="3" s="1"/>
  <c r="K58" i="3"/>
  <c r="J58" i="3"/>
  <c r="M58" i="3" s="1"/>
  <c r="K57" i="3"/>
  <c r="J57" i="3"/>
  <c r="M57" i="3" s="1"/>
  <c r="N56" i="3"/>
  <c r="K55" i="3"/>
  <c r="J55" i="3"/>
  <c r="M55" i="3" s="1"/>
  <c r="K54" i="3"/>
  <c r="J54" i="3"/>
  <c r="M54" i="3" s="1"/>
  <c r="M53" i="3"/>
  <c r="L53" i="3" s="1"/>
  <c r="K53" i="3"/>
  <c r="J53" i="3"/>
  <c r="M52" i="3"/>
  <c r="N52" i="3" s="1"/>
  <c r="L52" i="3"/>
  <c r="K52" i="3"/>
  <c r="J52" i="3"/>
  <c r="M51" i="3"/>
  <c r="N51" i="3" s="1"/>
  <c r="K51" i="3"/>
  <c r="L51" i="3" s="1"/>
  <c r="J51" i="3"/>
  <c r="K50" i="3"/>
  <c r="J50" i="3"/>
  <c r="M50" i="3" s="1"/>
  <c r="K49" i="3"/>
  <c r="J49" i="3"/>
  <c r="M49" i="3" s="1"/>
  <c r="K48" i="3"/>
  <c r="J48" i="3"/>
  <c r="M48" i="3" s="1"/>
  <c r="N47" i="3"/>
  <c r="N46" i="3"/>
  <c r="N45" i="3"/>
  <c r="K44" i="3"/>
  <c r="J44" i="3"/>
  <c r="M44" i="3" s="1"/>
  <c r="K43" i="3"/>
  <c r="J43" i="3"/>
  <c r="M43" i="3" s="1"/>
  <c r="K42" i="3"/>
  <c r="J42" i="3"/>
  <c r="M42" i="3" s="1"/>
  <c r="N41" i="3"/>
  <c r="K40" i="3"/>
  <c r="J40" i="3"/>
  <c r="M40" i="3" s="1"/>
  <c r="N39" i="3"/>
  <c r="K38" i="3"/>
  <c r="J38" i="3"/>
  <c r="M38" i="3" s="1"/>
  <c r="M37" i="3"/>
  <c r="L37" i="3" s="1"/>
  <c r="K37" i="3"/>
  <c r="J37" i="3"/>
  <c r="M36" i="3"/>
  <c r="N36" i="3" s="1"/>
  <c r="L36" i="3"/>
  <c r="K36" i="3"/>
  <c r="J36" i="3"/>
  <c r="N35" i="3"/>
  <c r="M34" i="3"/>
  <c r="N34" i="3" s="1"/>
  <c r="L34" i="3"/>
  <c r="K34" i="3"/>
  <c r="J34" i="3"/>
  <c r="N33" i="3"/>
  <c r="N32" i="3"/>
  <c r="M31" i="3"/>
  <c r="L31" i="3" s="1"/>
  <c r="K31" i="3"/>
  <c r="J31" i="3"/>
  <c r="M30" i="3"/>
  <c r="N30" i="3" s="1"/>
  <c r="L30" i="3"/>
  <c r="K30" i="3"/>
  <c r="J30" i="3"/>
  <c r="M29" i="3"/>
  <c r="N29" i="3" s="1"/>
  <c r="K29" i="3"/>
  <c r="L29" i="3" s="1"/>
  <c r="J29" i="3"/>
  <c r="K28" i="3"/>
  <c r="J28" i="3"/>
  <c r="M28" i="3" s="1"/>
  <c r="N27" i="3"/>
  <c r="K26" i="3"/>
  <c r="J26" i="3"/>
  <c r="M26" i="3" s="1"/>
  <c r="K25" i="3"/>
  <c r="J25" i="3"/>
  <c r="M25" i="3" s="1"/>
  <c r="K24" i="3"/>
  <c r="J24" i="3"/>
  <c r="M24" i="3" s="1"/>
  <c r="N23" i="3"/>
  <c r="K22" i="3"/>
  <c r="J22" i="3"/>
  <c r="M22" i="3" s="1"/>
  <c r="M21" i="3"/>
  <c r="L21" i="3" s="1"/>
  <c r="K21" i="3"/>
  <c r="J21" i="3"/>
  <c r="M20" i="3"/>
  <c r="N20" i="3" s="1"/>
  <c r="L20" i="3"/>
  <c r="K20" i="3"/>
  <c r="J20" i="3"/>
  <c r="K19" i="3"/>
  <c r="J19" i="3"/>
  <c r="M19" i="3" s="1"/>
  <c r="N18" i="3"/>
  <c r="K17" i="3"/>
  <c r="J17" i="3"/>
  <c r="M17" i="3" s="1"/>
  <c r="K16" i="3"/>
  <c r="J16" i="3"/>
  <c r="M16" i="3" s="1"/>
  <c r="K15" i="3"/>
  <c r="J15" i="3"/>
  <c r="M15" i="3" s="1"/>
  <c r="K14" i="3"/>
  <c r="J14" i="3"/>
  <c r="M14" i="3" s="1"/>
  <c r="M13" i="3"/>
  <c r="L13" i="3" s="1"/>
  <c r="K13" i="3"/>
  <c r="J13" i="3"/>
  <c r="N12" i="3"/>
  <c r="N11" i="3"/>
  <c r="N10" i="3"/>
  <c r="K9" i="3"/>
  <c r="J9" i="3"/>
  <c r="M9" i="3" s="1"/>
  <c r="K8" i="3"/>
  <c r="J8" i="3"/>
  <c r="M8" i="3" s="1"/>
  <c r="M7" i="3"/>
  <c r="L7" i="3" s="1"/>
  <c r="K7" i="3"/>
  <c r="J7" i="3"/>
  <c r="N6" i="3"/>
  <c r="K125" i="2"/>
  <c r="J125" i="2"/>
  <c r="M125" i="2" s="1"/>
  <c r="K124" i="2"/>
  <c r="J124" i="2"/>
  <c r="M124" i="2" s="1"/>
  <c r="M123" i="2"/>
  <c r="L123" i="2" s="1"/>
  <c r="K123" i="2"/>
  <c r="J123" i="2"/>
  <c r="N122" i="2"/>
  <c r="M121" i="2"/>
  <c r="L121" i="2" s="1"/>
  <c r="K121" i="2"/>
  <c r="J121" i="2"/>
  <c r="M120" i="2"/>
  <c r="N120" i="2" s="1"/>
  <c r="L120" i="2"/>
  <c r="K120" i="2"/>
  <c r="J120" i="2"/>
  <c r="N119" i="2"/>
  <c r="M118" i="2"/>
  <c r="N118" i="2" s="1"/>
  <c r="L118" i="2"/>
  <c r="K118" i="2"/>
  <c r="J118" i="2"/>
  <c r="K117" i="2"/>
  <c r="J117" i="2"/>
  <c r="M117" i="2" s="1"/>
  <c r="K116" i="2"/>
  <c r="J116" i="2"/>
  <c r="M116" i="2" s="1"/>
  <c r="K115" i="2"/>
  <c r="J115" i="2"/>
  <c r="M115" i="2" s="1"/>
  <c r="N114" i="2"/>
  <c r="M114" i="2"/>
  <c r="K114" i="2"/>
  <c r="L114" i="2" s="1"/>
  <c r="J114" i="2"/>
  <c r="N113" i="2"/>
  <c r="N112" i="2"/>
  <c r="M112" i="2"/>
  <c r="K112" i="2"/>
  <c r="L112" i="2" s="1"/>
  <c r="J112" i="2"/>
  <c r="M111" i="2"/>
  <c r="L111" i="2" s="1"/>
  <c r="K111" i="2"/>
  <c r="J111" i="2"/>
  <c r="M110" i="2"/>
  <c r="N110" i="2" s="1"/>
  <c r="L110" i="2"/>
  <c r="K110" i="2"/>
  <c r="J110" i="2"/>
  <c r="K109" i="2"/>
  <c r="J109" i="2"/>
  <c r="M109" i="2" s="1"/>
  <c r="K108" i="2"/>
  <c r="J108" i="2"/>
  <c r="M108" i="2" s="1"/>
  <c r="K107" i="2"/>
  <c r="J107" i="2"/>
  <c r="M107" i="2" s="1"/>
  <c r="K106" i="2"/>
  <c r="J106" i="2"/>
  <c r="M106" i="2" s="1"/>
  <c r="M105" i="2"/>
  <c r="L105" i="2" s="1"/>
  <c r="K105" i="2"/>
  <c r="J105" i="2"/>
  <c r="M104" i="2"/>
  <c r="N104" i="2" s="1"/>
  <c r="L104" i="2"/>
  <c r="K104" i="2"/>
  <c r="J104" i="2"/>
  <c r="K103" i="2"/>
  <c r="J103" i="2"/>
  <c r="M103" i="2" s="1"/>
  <c r="K102" i="2"/>
  <c r="J102" i="2"/>
  <c r="M102" i="2" s="1"/>
  <c r="K101" i="2"/>
  <c r="J101" i="2"/>
  <c r="M101" i="2" s="1"/>
  <c r="K100" i="2"/>
  <c r="J100" i="2"/>
  <c r="M100" i="2" s="1"/>
  <c r="M99" i="2"/>
  <c r="L99" i="2" s="1"/>
  <c r="K99" i="2"/>
  <c r="J99" i="2"/>
  <c r="M98" i="2"/>
  <c r="N98" i="2" s="1"/>
  <c r="L98" i="2"/>
  <c r="K98" i="2"/>
  <c r="J98" i="2"/>
  <c r="K97" i="2"/>
  <c r="J97" i="2"/>
  <c r="M97" i="2" s="1"/>
  <c r="N96" i="2"/>
  <c r="K95" i="2"/>
  <c r="J95" i="2"/>
  <c r="M95" i="2" s="1"/>
  <c r="N94" i="2"/>
  <c r="K93" i="2"/>
  <c r="J93" i="2"/>
  <c r="M93" i="2" s="1"/>
  <c r="K92" i="2"/>
  <c r="J92" i="2"/>
  <c r="M92" i="2" s="1"/>
  <c r="K91" i="2"/>
  <c r="J91" i="2"/>
  <c r="M91" i="2" s="1"/>
  <c r="K90" i="2"/>
  <c r="J90" i="2"/>
  <c r="M90" i="2" s="1"/>
  <c r="N89" i="2"/>
  <c r="K88" i="2"/>
  <c r="J88" i="2"/>
  <c r="M88" i="2" s="1"/>
  <c r="M87" i="2"/>
  <c r="L87" i="2" s="1"/>
  <c r="K87" i="2"/>
  <c r="J87" i="2"/>
  <c r="M86" i="2"/>
  <c r="N86" i="2" s="1"/>
  <c r="L86" i="2"/>
  <c r="K86" i="2"/>
  <c r="J86" i="2"/>
  <c r="K85" i="2"/>
  <c r="J85" i="2"/>
  <c r="M85" i="2" s="1"/>
  <c r="K84" i="2"/>
  <c r="J84" i="2"/>
  <c r="M84" i="2" s="1"/>
  <c r="N83" i="2"/>
  <c r="N82" i="2"/>
  <c r="K81" i="2"/>
  <c r="J81" i="2"/>
  <c r="M81" i="2" s="1"/>
  <c r="K80" i="2"/>
  <c r="J80" i="2"/>
  <c r="M80" i="2" s="1"/>
  <c r="K79" i="2"/>
  <c r="J79" i="2"/>
  <c r="M79" i="2" s="1"/>
  <c r="K78" i="2"/>
  <c r="J78" i="2"/>
  <c r="M78" i="2" s="1"/>
  <c r="M77" i="2"/>
  <c r="L77" i="2" s="1"/>
  <c r="K77" i="2"/>
  <c r="J77" i="2"/>
  <c r="M76" i="2"/>
  <c r="N76" i="2" s="1"/>
  <c r="L76" i="2"/>
  <c r="K76" i="2"/>
  <c r="J76" i="2"/>
  <c r="K75" i="2"/>
  <c r="J75" i="2"/>
  <c r="M75" i="2" s="1"/>
  <c r="K74" i="2"/>
  <c r="J74" i="2"/>
  <c r="M74" i="2" s="1"/>
  <c r="K73" i="2"/>
  <c r="J73" i="2"/>
  <c r="M73" i="2" s="1"/>
  <c r="K72" i="2"/>
  <c r="J72" i="2"/>
  <c r="M72" i="2" s="1"/>
  <c r="M71" i="2"/>
  <c r="L71" i="2" s="1"/>
  <c r="K71" i="2"/>
  <c r="J71" i="2"/>
  <c r="M70" i="2"/>
  <c r="N70" i="2" s="1"/>
  <c r="L70" i="2"/>
  <c r="K70" i="2"/>
  <c r="J70" i="2"/>
  <c r="N69" i="2"/>
  <c r="M68" i="2"/>
  <c r="N68" i="2" s="1"/>
  <c r="L68" i="2"/>
  <c r="K68" i="2"/>
  <c r="J68" i="2"/>
  <c r="K67" i="2"/>
  <c r="J67" i="2"/>
  <c r="M67" i="2" s="1"/>
  <c r="K66" i="2"/>
  <c r="J66" i="2"/>
  <c r="M66" i="2" s="1"/>
  <c r="K65" i="2"/>
  <c r="J65" i="2"/>
  <c r="M65" i="2" s="1"/>
  <c r="K64" i="2"/>
  <c r="J64" i="2"/>
  <c r="M64" i="2" s="1"/>
  <c r="M63" i="2"/>
  <c r="L63" i="2" s="1"/>
  <c r="K63" i="2"/>
  <c r="J63" i="2"/>
  <c r="N62" i="2"/>
  <c r="M61" i="2"/>
  <c r="L61" i="2" s="1"/>
  <c r="K61" i="2"/>
  <c r="J61" i="2"/>
  <c r="M60" i="2"/>
  <c r="N60" i="2" s="1"/>
  <c r="L60" i="2"/>
  <c r="K60" i="2"/>
  <c r="J60" i="2"/>
  <c r="K59" i="2"/>
  <c r="J59" i="2"/>
  <c r="M59" i="2" s="1"/>
  <c r="K58" i="2"/>
  <c r="J58" i="2"/>
  <c r="M58" i="2" s="1"/>
  <c r="K57" i="2"/>
  <c r="J57" i="2"/>
  <c r="M57" i="2" s="1"/>
  <c r="N56" i="2"/>
  <c r="K55" i="2"/>
  <c r="J55" i="2"/>
  <c r="M55" i="2" s="1"/>
  <c r="K54" i="2"/>
  <c r="J54" i="2"/>
  <c r="M54" i="2" s="1"/>
  <c r="M53" i="2"/>
  <c r="L53" i="2" s="1"/>
  <c r="K53" i="2"/>
  <c r="J53" i="2"/>
  <c r="M52" i="2"/>
  <c r="N52" i="2" s="1"/>
  <c r="L52" i="2"/>
  <c r="K52" i="2"/>
  <c r="J52" i="2"/>
  <c r="K51" i="2"/>
  <c r="J51" i="2"/>
  <c r="M51" i="2" s="1"/>
  <c r="K50" i="2"/>
  <c r="J50" i="2"/>
  <c r="M50" i="2" s="1"/>
  <c r="K49" i="2"/>
  <c r="J49" i="2"/>
  <c r="M49" i="2" s="1"/>
  <c r="K48" i="2"/>
  <c r="J48" i="2"/>
  <c r="M48" i="2" s="1"/>
  <c r="N47" i="2"/>
  <c r="N46" i="2"/>
  <c r="N45" i="2"/>
  <c r="K44" i="2"/>
  <c r="J44" i="2"/>
  <c r="M44" i="2" s="1"/>
  <c r="K43" i="2"/>
  <c r="J43" i="2"/>
  <c r="M43" i="2" s="1"/>
  <c r="K42" i="2"/>
  <c r="J42" i="2"/>
  <c r="M42" i="2" s="1"/>
  <c r="N41" i="2"/>
  <c r="K40" i="2"/>
  <c r="J40" i="2"/>
  <c r="M40" i="2" s="1"/>
  <c r="N39" i="2"/>
  <c r="K38" i="2"/>
  <c r="J38" i="2"/>
  <c r="M38" i="2" s="1"/>
  <c r="M37" i="2"/>
  <c r="L37" i="2" s="1"/>
  <c r="K37" i="2"/>
  <c r="J37" i="2"/>
  <c r="M36" i="2"/>
  <c r="N36" i="2" s="1"/>
  <c r="L36" i="2"/>
  <c r="K36" i="2"/>
  <c r="J36" i="2"/>
  <c r="N35" i="2"/>
  <c r="M34" i="2"/>
  <c r="N34" i="2" s="1"/>
  <c r="L34" i="2"/>
  <c r="K34" i="2"/>
  <c r="J34" i="2"/>
  <c r="N33" i="2"/>
  <c r="N32" i="2"/>
  <c r="M31" i="2"/>
  <c r="L31" i="2" s="1"/>
  <c r="K31" i="2"/>
  <c r="J31" i="2"/>
  <c r="M30" i="2"/>
  <c r="N30" i="2" s="1"/>
  <c r="L30" i="2"/>
  <c r="K30" i="2"/>
  <c r="J30" i="2"/>
  <c r="K29" i="2"/>
  <c r="J29" i="2"/>
  <c r="M29" i="2" s="1"/>
  <c r="K28" i="2"/>
  <c r="J28" i="2"/>
  <c r="M28" i="2" s="1"/>
  <c r="N27" i="2"/>
  <c r="K26" i="2"/>
  <c r="J26" i="2"/>
  <c r="M26" i="2" s="1"/>
  <c r="K25" i="2"/>
  <c r="J25" i="2"/>
  <c r="M25" i="2" s="1"/>
  <c r="K24" i="2"/>
  <c r="J24" i="2"/>
  <c r="M24" i="2" s="1"/>
  <c r="N23" i="2"/>
  <c r="K22" i="2"/>
  <c r="J22" i="2"/>
  <c r="M22" i="2" s="1"/>
  <c r="M21" i="2"/>
  <c r="L21" i="2" s="1"/>
  <c r="K21" i="2"/>
  <c r="J21" i="2"/>
  <c r="M20" i="2"/>
  <c r="N20" i="2" s="1"/>
  <c r="L20" i="2"/>
  <c r="K20" i="2"/>
  <c r="J20" i="2"/>
  <c r="K19" i="2"/>
  <c r="J19" i="2"/>
  <c r="M19" i="2" s="1"/>
  <c r="N18" i="2"/>
  <c r="K17" i="2"/>
  <c r="J17" i="2"/>
  <c r="M17" i="2" s="1"/>
  <c r="K16" i="2"/>
  <c r="J16" i="2"/>
  <c r="M16" i="2" s="1"/>
  <c r="K15" i="2"/>
  <c r="J15" i="2"/>
  <c r="M15" i="2" s="1"/>
  <c r="K14" i="2"/>
  <c r="J14" i="2"/>
  <c r="M14" i="2" s="1"/>
  <c r="M13" i="2"/>
  <c r="L13" i="2" s="1"/>
  <c r="K13" i="2"/>
  <c r="J13" i="2"/>
  <c r="N12" i="2"/>
  <c r="N11" i="2"/>
  <c r="N10" i="2"/>
  <c r="K9" i="2"/>
  <c r="J9" i="2"/>
  <c r="M9" i="2" s="1"/>
  <c r="K8" i="2"/>
  <c r="J8" i="2"/>
  <c r="M8" i="2" s="1"/>
  <c r="M7" i="2"/>
  <c r="L7" i="2" s="1"/>
  <c r="K7" i="2"/>
  <c r="J7" i="2"/>
  <c r="N6" i="2"/>
  <c r="I17" i="6" l="1"/>
  <c r="N17" i="6"/>
  <c r="AB130" i="5"/>
  <c r="AK130" i="5"/>
  <c r="AS130" i="5"/>
  <c r="BB130" i="5"/>
  <c r="AZ130" i="5" s="1"/>
  <c r="L67" i="3"/>
  <c r="N67" i="3"/>
  <c r="N22" i="3"/>
  <c r="L22" i="3"/>
  <c r="L42" i="3"/>
  <c r="N42" i="3"/>
  <c r="N26" i="3"/>
  <c r="L26" i="3"/>
  <c r="N54" i="3"/>
  <c r="L54" i="3"/>
  <c r="L75" i="3"/>
  <c r="N75" i="3"/>
  <c r="N107" i="3"/>
  <c r="L107" i="3"/>
  <c r="N8" i="3"/>
  <c r="L8" i="3"/>
  <c r="N15" i="3"/>
  <c r="L15" i="3"/>
  <c r="N43" i="3"/>
  <c r="L43" i="3"/>
  <c r="N58" i="3"/>
  <c r="L58" i="3"/>
  <c r="N80" i="3"/>
  <c r="L80" i="3"/>
  <c r="N84" i="3"/>
  <c r="L84" i="3"/>
  <c r="N92" i="3"/>
  <c r="L92" i="3"/>
  <c r="N115" i="3"/>
  <c r="L115" i="3"/>
  <c r="N25" i="3"/>
  <c r="L25" i="3"/>
  <c r="L64" i="3"/>
  <c r="N64" i="3"/>
  <c r="L17" i="3"/>
  <c r="N17" i="3"/>
  <c r="L38" i="3"/>
  <c r="N38" i="3"/>
  <c r="N79" i="3"/>
  <c r="L79" i="3"/>
  <c r="L72" i="3"/>
  <c r="N72" i="3"/>
  <c r="L88" i="3"/>
  <c r="N88" i="3"/>
  <c r="N100" i="3"/>
  <c r="L100" i="3"/>
  <c r="N19" i="3"/>
  <c r="L19" i="3"/>
  <c r="L24" i="3"/>
  <c r="N24" i="3"/>
  <c r="L40" i="3"/>
  <c r="N40" i="3"/>
  <c r="L48" i="3"/>
  <c r="N48" i="3"/>
  <c r="N55" i="3"/>
  <c r="L55" i="3"/>
  <c r="N66" i="3"/>
  <c r="L66" i="3"/>
  <c r="N73" i="3"/>
  <c r="L73" i="3"/>
  <c r="N101" i="3"/>
  <c r="L101" i="3"/>
  <c r="N108" i="3"/>
  <c r="L108" i="3"/>
  <c r="L112" i="3"/>
  <c r="N112" i="3"/>
  <c r="N125" i="3"/>
  <c r="L125" i="3"/>
  <c r="N49" i="3"/>
  <c r="L49" i="3"/>
  <c r="N74" i="3"/>
  <c r="L74" i="3"/>
  <c r="N102" i="3"/>
  <c r="L102" i="3"/>
  <c r="L106" i="3"/>
  <c r="N106" i="3"/>
  <c r="L14" i="3"/>
  <c r="N14" i="3"/>
  <c r="N57" i="3"/>
  <c r="L57" i="3"/>
  <c r="N91" i="3"/>
  <c r="L91" i="3"/>
  <c r="L114" i="3"/>
  <c r="N114" i="3"/>
  <c r="N50" i="3"/>
  <c r="L50" i="3"/>
  <c r="N65" i="3"/>
  <c r="L65" i="3"/>
  <c r="N95" i="3"/>
  <c r="L95" i="3"/>
  <c r="L124" i="3"/>
  <c r="N124" i="3"/>
  <c r="N9" i="3"/>
  <c r="L9" i="3"/>
  <c r="N16" i="3"/>
  <c r="L16" i="3"/>
  <c r="N28" i="3"/>
  <c r="L28" i="3"/>
  <c r="N44" i="3"/>
  <c r="L44" i="3"/>
  <c r="L59" i="3"/>
  <c r="N59" i="3"/>
  <c r="L78" i="3"/>
  <c r="N78" i="3"/>
  <c r="L81" i="3"/>
  <c r="N81" i="3"/>
  <c r="L85" i="3"/>
  <c r="N85" i="3"/>
  <c r="N90" i="3"/>
  <c r="L90" i="3"/>
  <c r="L93" i="3"/>
  <c r="N93" i="3"/>
  <c r="L97" i="3"/>
  <c r="N97" i="3"/>
  <c r="N116" i="3"/>
  <c r="L116" i="3"/>
  <c r="N7" i="3"/>
  <c r="N21" i="3"/>
  <c r="N31" i="3"/>
  <c r="N37" i="3"/>
  <c r="N61" i="3"/>
  <c r="N71" i="3"/>
  <c r="N77" i="3"/>
  <c r="N99" i="3"/>
  <c r="N105" i="3"/>
  <c r="N123" i="3"/>
  <c r="N13" i="3"/>
  <c r="N63" i="3"/>
  <c r="N87" i="3"/>
  <c r="N111" i="3"/>
  <c r="N121" i="3"/>
  <c r="N53" i="3"/>
  <c r="N16" i="2"/>
  <c r="L16" i="2"/>
  <c r="N57" i="2"/>
  <c r="L57" i="2"/>
  <c r="N79" i="2"/>
  <c r="L79" i="2"/>
  <c r="N91" i="2"/>
  <c r="L91" i="2"/>
  <c r="N107" i="2"/>
  <c r="L107" i="2"/>
  <c r="N116" i="2"/>
  <c r="L116" i="2"/>
  <c r="N25" i="2"/>
  <c r="L25" i="2"/>
  <c r="L38" i="2"/>
  <c r="N38" i="2"/>
  <c r="L42" i="2"/>
  <c r="N42" i="2"/>
  <c r="L54" i="2"/>
  <c r="N54" i="2"/>
  <c r="N65" i="2"/>
  <c r="L65" i="2"/>
  <c r="L72" i="2"/>
  <c r="N72" i="2"/>
  <c r="L75" i="2"/>
  <c r="N75" i="2"/>
  <c r="L88" i="2"/>
  <c r="N88" i="2"/>
  <c r="L95" i="2"/>
  <c r="N95" i="2"/>
  <c r="N100" i="2"/>
  <c r="L100" i="2"/>
  <c r="L103" i="2"/>
  <c r="N103" i="2"/>
  <c r="L14" i="2"/>
  <c r="N14" i="2"/>
  <c r="L17" i="2"/>
  <c r="N17" i="2"/>
  <c r="L22" i="2"/>
  <c r="N22" i="2"/>
  <c r="L29" i="2"/>
  <c r="N29" i="2"/>
  <c r="N50" i="2"/>
  <c r="L50" i="2"/>
  <c r="N58" i="2"/>
  <c r="L58" i="2"/>
  <c r="N80" i="2"/>
  <c r="L80" i="2"/>
  <c r="N84" i="2"/>
  <c r="L84" i="2"/>
  <c r="N92" i="2"/>
  <c r="L92" i="2"/>
  <c r="N108" i="2"/>
  <c r="L108" i="2"/>
  <c r="N117" i="2"/>
  <c r="L117" i="2"/>
  <c r="N124" i="2"/>
  <c r="L124" i="2"/>
  <c r="N9" i="2"/>
  <c r="L9" i="2"/>
  <c r="N49" i="2"/>
  <c r="L49" i="2"/>
  <c r="N26" i="2"/>
  <c r="L26" i="2"/>
  <c r="N66" i="2"/>
  <c r="L66" i="2"/>
  <c r="L51" i="2"/>
  <c r="N51" i="2"/>
  <c r="N28" i="2"/>
  <c r="L28" i="2"/>
  <c r="N43" i="2"/>
  <c r="L43" i="2"/>
  <c r="N55" i="2"/>
  <c r="L55" i="2"/>
  <c r="N73" i="2"/>
  <c r="L73" i="2"/>
  <c r="N101" i="2"/>
  <c r="L101" i="2"/>
  <c r="L8" i="2"/>
  <c r="N8" i="2"/>
  <c r="N15" i="2"/>
  <c r="L15" i="2"/>
  <c r="L40" i="2"/>
  <c r="N40" i="2"/>
  <c r="L48" i="2"/>
  <c r="N48" i="2"/>
  <c r="N59" i="2"/>
  <c r="L59" i="2"/>
  <c r="L78" i="2"/>
  <c r="N78" i="2"/>
  <c r="N81" i="2"/>
  <c r="L81" i="2"/>
  <c r="N85" i="2"/>
  <c r="L85" i="2"/>
  <c r="N90" i="2"/>
  <c r="L90" i="2"/>
  <c r="L93" i="2"/>
  <c r="N93" i="2"/>
  <c r="N97" i="2"/>
  <c r="L97" i="2"/>
  <c r="L106" i="2"/>
  <c r="N106" i="2"/>
  <c r="N109" i="2"/>
  <c r="L109" i="2"/>
  <c r="N115" i="2"/>
  <c r="L115" i="2"/>
  <c r="N125" i="2"/>
  <c r="L125" i="2"/>
  <c r="L19" i="2"/>
  <c r="N19" i="2"/>
  <c r="L24" i="2"/>
  <c r="N24" i="2"/>
  <c r="N44" i="2"/>
  <c r="L44" i="2"/>
  <c r="N64" i="2"/>
  <c r="L64" i="2"/>
  <c r="N67" i="2"/>
  <c r="L67" i="2"/>
  <c r="N74" i="2"/>
  <c r="L74" i="2"/>
  <c r="N102" i="2"/>
  <c r="L102" i="2"/>
  <c r="N7" i="2"/>
  <c r="N13" i="2"/>
  <c r="N21" i="2"/>
  <c r="N71" i="2"/>
  <c r="N77" i="2"/>
  <c r="N99" i="2"/>
  <c r="N111" i="2"/>
  <c r="N123" i="2"/>
  <c r="N37" i="2"/>
  <c r="N53" i="2"/>
  <c r="N87" i="2"/>
  <c r="N121" i="2"/>
  <c r="N31" i="2"/>
  <c r="N61" i="2"/>
  <c r="N63" i="2"/>
  <c r="N105" i="2"/>
  <c r="M17" i="6" l="1"/>
  <c r="R17" i="6"/>
  <c r="AI130" i="5"/>
  <c r="AR130" i="5"/>
  <c r="Q17" i="6" l="1"/>
  <c r="V17" i="6"/>
  <c r="AP130" i="5"/>
  <c r="AY130" i="5"/>
  <c r="AW130" i="5" s="1"/>
  <c r="U17" i="6" l="1"/>
  <c r="Z17" i="6"/>
  <c r="Y17" i="6" s="1"/>
</calcChain>
</file>

<file path=xl/sharedStrings.xml><?xml version="1.0" encoding="utf-8"?>
<sst xmlns="http://schemas.openxmlformats.org/spreadsheetml/2006/main" count="1569" uniqueCount="450">
  <si>
    <t>Obra</t>
  </si>
  <si>
    <t>Bancos</t>
  </si>
  <si>
    <t>B.D.I.</t>
  </si>
  <si>
    <t>Encargos Sociais</t>
  </si>
  <si>
    <t>Fórum de Apucarana - DESONERADO (23-04-2025)</t>
  </si>
  <si>
    <t xml:space="preserve">SINAPI - 03/2025 - Paraná
SBC - 04/2025 - Paraná
ORSE - 01/2025 - Sergipe
SEDOP - 02/2025 - Pará
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</si>
  <si>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</si>
  <si>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</si>
  <si>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</si>
  <si>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</si>
  <si>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</si>
  <si>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</si>
  <si>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</si>
  <si>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</si>
  <si>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</si>
  <si>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</si>
  <si>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</si>
  <si>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</si>
  <si>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</si>
  <si>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</si>
  <si>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Administração Direta</t>
  </si>
  <si>
    <t xml:space="preserve"> 1.1 </t>
  </si>
  <si>
    <t xml:space="preserve"> 90778 </t>
  </si>
  <si>
    <t>SINAPI</t>
  </si>
  <si>
    <t>ENGENHEIRO CIVIL DE OBRA PLENO COM ENCARGOS COMPLEMENTARES</t>
  </si>
  <si>
    <t>H</t>
  </si>
  <si>
    <t xml:space="preserve"> 1.2 </t>
  </si>
  <si>
    <t xml:space="preserve"> 90780 </t>
  </si>
  <si>
    <t>MESTRE DE OBRAS COM ENCARGOS COMPLEMENTARES</t>
  </si>
  <si>
    <t xml:space="preserve"> 1.3 </t>
  </si>
  <si>
    <t xml:space="preserve"> 103689 </t>
  </si>
  <si>
    <t>FORNECIMENTO E INSTALAÇÃO DE PLACA DE OBRA COM CHAPA GALVANIZADA E ESTRUTURA DE MADEIRA. AF_03/2022_PS</t>
  </si>
  <si>
    <t>m²</t>
  </si>
  <si>
    <t xml:space="preserve"> 2 </t>
  </si>
  <si>
    <t>Demolição</t>
  </si>
  <si>
    <t xml:space="preserve"> 2.1 </t>
  </si>
  <si>
    <t>Interno</t>
  </si>
  <si>
    <t xml:space="preserve"> 2.1.1 </t>
  </si>
  <si>
    <t>Revestimentos Horizontais</t>
  </si>
  <si>
    <t xml:space="preserve"> 2.1.1.1 </t>
  </si>
  <si>
    <t xml:space="preserve"> 97633 </t>
  </si>
  <si>
    <t>DEMOLIÇÃO DE REVESTIMENTO CERÂMICO, DE FORMA MANUAL, SEM REAPROVEITAMENTO. AF_09/2023</t>
  </si>
  <si>
    <t xml:space="preserve"> 2.1.1.2 </t>
  </si>
  <si>
    <t xml:space="preserve"> 97632 </t>
  </si>
  <si>
    <t>DEMOLIÇÃO DE RODAPÉ CERÂMICO, DE FORMA MANUAL, SEM REAPROVEITAMENTO. AF_09/2023</t>
  </si>
  <si>
    <t>M</t>
  </si>
  <si>
    <t xml:space="preserve"> 2.1.1.3 </t>
  </si>
  <si>
    <t xml:space="preserve"> 022237 </t>
  </si>
  <si>
    <t>SBC</t>
  </si>
  <si>
    <t>RETIRADA GRANITO EM PISO</t>
  </si>
  <si>
    <t xml:space="preserve"> 2.1.1.4 </t>
  </si>
  <si>
    <t xml:space="preserve"> 022191 </t>
  </si>
  <si>
    <t>RETIRADA DE RODAPES EM ARDOSIA</t>
  </si>
  <si>
    <t xml:space="preserve"> 2.1.1.5 </t>
  </si>
  <si>
    <t xml:space="preserve"> 97641 </t>
  </si>
  <si>
    <t>REMOÇÃO DE FORRO DE GESSO, DE FORMA MANUAL, SEM REAPROVEITAMENTO. AF_09/2023</t>
  </si>
  <si>
    <t xml:space="preserve"> 2.1.2 </t>
  </si>
  <si>
    <t>Revestimentos Verticais</t>
  </si>
  <si>
    <t xml:space="preserve"> 2.1.2.1 </t>
  </si>
  <si>
    <t xml:space="preserve"> 12631 </t>
  </si>
  <si>
    <t>ORSE</t>
  </si>
  <si>
    <t>Retirada de divisória tipo naval</t>
  </si>
  <si>
    <t xml:space="preserve"> 2.1.2.2 </t>
  </si>
  <si>
    <t xml:space="preserve"> 022711 </t>
  </si>
  <si>
    <t>RETIRADA DE PORTAS</t>
  </si>
  <si>
    <t>UN</t>
  </si>
  <si>
    <t xml:space="preserve"> 2.1.2.3 </t>
  </si>
  <si>
    <t xml:space="preserve"> elétrica </t>
  </si>
  <si>
    <t>Próprio</t>
  </si>
  <si>
    <t>REMOÇÃO DE ELETROCALHA</t>
  </si>
  <si>
    <t xml:space="preserve"> 2.1.2.4 </t>
  </si>
  <si>
    <t xml:space="preserve"> 7725 </t>
  </si>
  <si>
    <t>Remoção de pintura látex (raspagem e/ou lixamento e/ou escovação)</t>
  </si>
  <si>
    <t xml:space="preserve"> 2.1.3 </t>
  </si>
  <si>
    <t>Esquadrias</t>
  </si>
  <si>
    <t xml:space="preserve"> 2.1.3.1 </t>
  </si>
  <si>
    <t xml:space="preserve"> 022509 </t>
  </si>
  <si>
    <t>RETIRADA JANELAS</t>
  </si>
  <si>
    <t xml:space="preserve"> 2.1.3.2 </t>
  </si>
  <si>
    <t xml:space="preserve"> 29 </t>
  </si>
  <si>
    <t>Remoção de pintura à óleo ou esmalte -  Rev 01</t>
  </si>
  <si>
    <t xml:space="preserve"> 2.1.3.3 </t>
  </si>
  <si>
    <t xml:space="preserve"> 022749 </t>
  </si>
  <si>
    <t>RETIRADA CORRIMAO METALICO</t>
  </si>
  <si>
    <t xml:space="preserve"> 2.1.4 </t>
  </si>
  <si>
    <t>Banheiros para acessibilidade</t>
  </si>
  <si>
    <t xml:space="preserve"> 2.1.4.1 </t>
  </si>
  <si>
    <t xml:space="preserve"> 3254 </t>
  </si>
  <si>
    <t>Remoção de válvula de descarga</t>
  </si>
  <si>
    <t>un</t>
  </si>
  <si>
    <t xml:space="preserve"> 2.1.4.2 </t>
  </si>
  <si>
    <t xml:space="preserve"> 022736 </t>
  </si>
  <si>
    <t>RETIRADA CUIDADOSA LOUCA SANITARIA</t>
  </si>
  <si>
    <t xml:space="preserve"> 2.1.4.3 </t>
  </si>
  <si>
    <t xml:space="preserve"> 97666 </t>
  </si>
  <si>
    <t>REMOÇÃO DE METAIS SANITÁRIOS, DE FORMA MANUAL, SEM REAPROVEITAMENTO. AF_09/2023</t>
  </si>
  <si>
    <t xml:space="preserve"> 2.1.4.4 </t>
  </si>
  <si>
    <t xml:space="preserve"> 97622 </t>
  </si>
  <si>
    <t>DEMOLIÇÃO DE ALVENARIA DE BLOCO FURADO, DE FORMA MANUAL, SEM REAPROVEITAMENTO. AF_09/2023</t>
  </si>
  <si>
    <t>m³</t>
  </si>
  <si>
    <t xml:space="preserve"> 2.2 </t>
  </si>
  <si>
    <t>Externo</t>
  </si>
  <si>
    <t xml:space="preserve"> 2.2.1 </t>
  </si>
  <si>
    <t>Térreo - Externo</t>
  </si>
  <si>
    <t xml:space="preserve"> 2.2.1.1 </t>
  </si>
  <si>
    <t xml:space="preserve"> 022098 </t>
  </si>
  <si>
    <t>DEMOLICAO PISO CONCRETO ATE 20cm COM MARTELETE ELETRICO</t>
  </si>
  <si>
    <t xml:space="preserve"> 2.2.2 </t>
  </si>
  <si>
    <t>Fachadas</t>
  </si>
  <si>
    <t xml:space="preserve"> 2.2.2.1 </t>
  </si>
  <si>
    <t xml:space="preserve"> 2.2.2.2 </t>
  </si>
  <si>
    <t xml:space="preserve"> 2.2.2.3 </t>
  </si>
  <si>
    <t xml:space="preserve"> 4513 </t>
  </si>
  <si>
    <t>Restauro - Lavagem de superfície com hidrojateamento a uma pressão mínima de 1200 lb</t>
  </si>
  <si>
    <t xml:space="preserve"> 2.2.3 </t>
  </si>
  <si>
    <t>Estacionamento</t>
  </si>
  <si>
    <t xml:space="preserve"> 2.2.3.1 </t>
  </si>
  <si>
    <t xml:space="preserve"> 104790 </t>
  </si>
  <si>
    <t>DEMOLIÇÃO DE PISO DE CONCRETO SIMPLES, DE FORMA MECANIZADA COM MARTELETE, SEM REAPROVEITAMENTO. AF_09/2023</t>
  </si>
  <si>
    <t xml:space="preserve"> 2.2.4 </t>
  </si>
  <si>
    <t>Telhado</t>
  </si>
  <si>
    <t xml:space="preserve"> 2.2.4.1 </t>
  </si>
  <si>
    <t xml:space="preserve"> 4943 </t>
  </si>
  <si>
    <t>Remoção de telhamento com telhas onduladas fibrocimento ou aluminio</t>
  </si>
  <si>
    <t xml:space="preserve"> 2.2.4.2 </t>
  </si>
  <si>
    <t xml:space="preserve"> 7218 </t>
  </si>
  <si>
    <t>Remoção de impermeabilização com manta asfaltica</t>
  </si>
  <si>
    <t xml:space="preserve"> 2.2.4.3 </t>
  </si>
  <si>
    <t xml:space="preserve"> 97625 </t>
  </si>
  <si>
    <t>DEMOLIÇÃO DE ALVENARIA PARA QUALQUER TIPO DE BLOCO, DE FORMA MECANIZADA, SEM REAPROVEITAMENTO. AF_09/2023</t>
  </si>
  <si>
    <t xml:space="preserve"> 3 </t>
  </si>
  <si>
    <t>Instalações e Serviços</t>
  </si>
  <si>
    <t xml:space="preserve"> 3.1 </t>
  </si>
  <si>
    <t xml:space="preserve"> 3.1.1 </t>
  </si>
  <si>
    <t xml:space="preserve"> 3.1.1.1 </t>
  </si>
  <si>
    <t xml:space="preserve"> 12442 </t>
  </si>
  <si>
    <t>Revestimento cerâmico para piso ou parede, 90 x 90 cm, porcelanato, esmaltado, polido, linha munari cimento, Eliane ou similar, aplicado com argamassa industrializada ac-iii, rejuntado, exclusive regularização de base ou emboço - Rev -  03</t>
  </si>
  <si>
    <t xml:space="preserve"> 3.1.1.2 </t>
  </si>
  <si>
    <t xml:space="preserve"> Forum </t>
  </si>
  <si>
    <t>Rodapé em porcelanato  dimensões 90x90 polido, linha munari cimento, Eliane ou similar, aplicado com argamassa industrializada ac-iii, rejuntado</t>
  </si>
  <si>
    <t xml:space="preserve"> 3.1.1.3 </t>
  </si>
  <si>
    <t xml:space="preserve"> 98671 </t>
  </si>
  <si>
    <t>PISO EM GRANITO APLICADO EM AMBIENTES INTERNOS. AF_09/2020</t>
  </si>
  <si>
    <t xml:space="preserve"> 3.1.1.4 </t>
  </si>
  <si>
    <t xml:space="preserve"> 98685 </t>
  </si>
  <si>
    <t>RODAPÉ EM GRANITO, ALTURA 10 CM. AF_09/2020</t>
  </si>
  <si>
    <t xml:space="preserve"> 3.1.1.5 </t>
  </si>
  <si>
    <t xml:space="preserve"> 170301 </t>
  </si>
  <si>
    <t>APICOAMENTO MANUAL DE PISO DE ALTA RESISTENCIA</t>
  </si>
  <si>
    <t xml:space="preserve"> 3.1.1.6 </t>
  </si>
  <si>
    <t xml:space="preserve"> 96113 </t>
  </si>
  <si>
    <t>FORRO EM PLACAS DE GESSO, PARA AMBIENTES COMERCIAIS. AF_08/2023_PS</t>
  </si>
  <si>
    <t xml:space="preserve"> 3.1.1.7 </t>
  </si>
  <si>
    <t xml:space="preserve"> 88484 </t>
  </si>
  <si>
    <t>FUNDO SELADOR ACRÍLICO, APLICAÇÃO MANUAL EM TETO, UMA DEMÃO. AF_04/2023</t>
  </si>
  <si>
    <t xml:space="preserve"> 3.1.1.8 </t>
  </si>
  <si>
    <t xml:space="preserve"> 104640 </t>
  </si>
  <si>
    <t>PINTURA LÁTEX ACRÍLICA STANDARD, APLICAÇÃO MANUAL EM TETO, DUAS DEMÃOS. AF_04/2023</t>
  </si>
  <si>
    <t xml:space="preserve"> 3.1.2 </t>
  </si>
  <si>
    <t xml:space="preserve"> 3.1.2.1 </t>
  </si>
  <si>
    <t xml:space="preserve"> 104718 </t>
  </si>
  <si>
    <t>PAREDE COM SISTEMA EM CHAPAS DE GESSO PARA DRYWALL, USO INTERNO, COM DUAS FACES SIMPLES E ESTRUTURA METÁLICA COM GUIAS SIMPLES PARA PAREDES COM ÁREA LÍQUIDA MENOR QUE 6 M2, COM VÃOS. AF_07/2023_PS</t>
  </si>
  <si>
    <t xml:space="preserve"> 3.1.2.2 </t>
  </si>
  <si>
    <t xml:space="preserve"> APUCARANA.LA-DE-ROCHA </t>
  </si>
  <si>
    <t>INSTALAÇÃO DE ISOLAMENTO COM LÃ DE ROCHA EM PAREDES DRYWALL</t>
  </si>
  <si>
    <t xml:space="preserve"> 3.1.2.3 </t>
  </si>
  <si>
    <t xml:space="preserve"> 88497 </t>
  </si>
  <si>
    <t>EMASSAMENTO COM MASSA LÁTEX, APLICAÇÃO EM PAREDE, DUAS DEMÃOS, LIXAMENTO MANUAL. AF_04/2023</t>
  </si>
  <si>
    <t xml:space="preserve"> 3.1.2.4 </t>
  </si>
  <si>
    <t xml:space="preserve"> 88485 </t>
  </si>
  <si>
    <t>FUNDO SELADOR ACRÍLICO, APLICAÇÃO MANUAL EM PAREDE, UMA DEMÃO. AF_04/2023</t>
  </si>
  <si>
    <t xml:space="preserve"> 3.1.2.5 </t>
  </si>
  <si>
    <t xml:space="preserve"> 104642 </t>
  </si>
  <si>
    <t>PINTURA LÁTEX ACRÍLICA STANDARD, APLICAÇÃO MANUAL EM PAREDES, DUAS DEMÃOS. AF_04/2023</t>
  </si>
  <si>
    <t xml:space="preserve"> 3.1.3 </t>
  </si>
  <si>
    <t xml:space="preserve"> 3.1.3.1 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</si>
  <si>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</si>
  <si>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</si>
  <si>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3.1.3.2 </t>
  </si>
  <si>
    <t xml:space="preserve"> 102229 </t>
  </si>
  <si>
    <t>PINTURA TINTA DE ACABAMENTO (PIGMENTADA) ESMALTE SINTÉTICO ACETINADO EM MADEIRA, 3 DEMÃOS. AF_01/2021</t>
  </si>
  <si>
    <t xml:space="preserve"> 3.1.3.3 </t>
  </si>
  <si>
    <t xml:space="preserve"> 9635 </t>
  </si>
  <si>
    <t>Esquadria de alumínio tubular</t>
  </si>
  <si>
    <t xml:space="preserve"> 3.1.3.4 </t>
  </si>
  <si>
    <t xml:space="preserve"> 102164 </t>
  </si>
  <si>
    <t>INSTALAÇÃO DE VIDRO LISO INCOLOR, E = 5 MM, EM ESQUADRIA DE ALUMÍNIO OU PVC, FIXADO COM BAGUETE. AF_01/2021_PS</t>
  </si>
  <si>
    <t xml:space="preserve"> 3.1.3.5 </t>
  </si>
  <si>
    <t xml:space="preserve"> 5070 </t>
  </si>
  <si>
    <t>Pintura de acabamento com aplicação de 01 demão de tinta epoximastic de alumínio modificado, bicomponente, SUMATANE HS BRILHANTE, da Sherwin Williams - Sumaré ou similar - R1</t>
  </si>
  <si>
    <t xml:space="preserve"> 3.1.3.6 </t>
  </si>
  <si>
    <t xml:space="preserve"> 8759 </t>
  </si>
  <si>
    <t>Corrimão em aço inox ø=1 1/2", duplo, h=90cm</t>
  </si>
  <si>
    <t>m</t>
  </si>
  <si>
    <t xml:space="preserve"> 3.1.4 </t>
  </si>
  <si>
    <t xml:space="preserve"> 3.1.4.1 </t>
  </si>
  <si>
    <t xml:space="preserve"> 120033 </t>
  </si>
  <si>
    <t>AZULEJO 30x60cm BOLD ANTARTIDA PORTOBELLO</t>
  </si>
  <si>
    <t xml:space="preserve"> 3.1.4.2 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</si>
  <si>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</si>
  <si>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</si>
  <si>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3.1.4.3 </t>
  </si>
  <si>
    <t xml:space="preserve"> 3.1.4.4 </t>
  </si>
  <si>
    <t xml:space="preserve"> 202332 </t>
  </si>
  <si>
    <t>PLACA DE IMPACTO DE PORTA 90x40cm</t>
  </si>
  <si>
    <t xml:space="preserve"> 3.1.4.5 </t>
  </si>
  <si>
    <t xml:space="preserve"> 95472 </t>
  </si>
  <si>
    <t>VASO SANITARIO SIFONADO CONVENCIONAL PARA PCD SEM FURO FRONTAL COM LOUÇA BRANCA SEM ASSENTO, INCLUSO CONJUNTO DE LIGAÇÃO PARA BACIA SANITÁRIA AJUSTÁVEL - FORNECIMENTO E INSTALAÇÃO. AF_01/2020</t>
  </si>
  <si>
    <t xml:space="preserve"> 3.1.4.6 </t>
  </si>
  <si>
    <t xml:space="preserve"> 100874 </t>
  </si>
  <si>
    <t>PUXADOR PARA PCD, FIXADO NA PORTA - FORNECIMENTO E INSTALAÇÃO. AF_01/2020</t>
  </si>
  <si>
    <t xml:space="preserve"> 3.1.4.7 </t>
  </si>
  <si>
    <t xml:space="preserve"> 100868 </t>
  </si>
  <si>
    <t>BARRA DE APOIO RETA, EM ACO INOX POLIDO, COMPRIMENTO 80 CM,  FIXADA NA PAREDE - FORNECIMENTO E INSTALAÇÃO. AF_01/2020</t>
  </si>
  <si>
    <t xml:space="preserve"> 3.1.4.8 </t>
  </si>
  <si>
    <t xml:space="preserve"> 100866 </t>
  </si>
  <si>
    <t>BARRA DE APOIO RETA, EM ACO INOX POLIDO, COMPRIMENTO 60CM, FIXADA NA PAREDE - FORNECIMENTO E INSTALAÇÃO. AF_01/2020</t>
  </si>
  <si>
    <t xml:space="preserve"> 3.1.4.9 </t>
  </si>
  <si>
    <t xml:space="preserve"> 9703 </t>
  </si>
  <si>
    <t>Canopla com alavanca para válvula de descarga para deficiente</t>
  </si>
  <si>
    <t xml:space="preserve"> 3.1.4.10 </t>
  </si>
  <si>
    <t xml:space="preserve"> 190058 </t>
  </si>
  <si>
    <t>ESPELHO CRISTAL 4mm COM MOLDURA DE ALUMINIO</t>
  </si>
  <si>
    <t xml:space="preserve"> 3.1.4.11 </t>
  </si>
  <si>
    <t xml:space="preserve"> 86943 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</si>
  <si>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</si>
  <si>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 3.1.4.12 </t>
  </si>
  <si>
    <t xml:space="preserve"> 202125 </t>
  </si>
  <si>
    <t>ALARME AUDIOVISUAL S/ FIO BIVOLT 110/220V P/ SANITRIO PCD</t>
  </si>
  <si>
    <t xml:space="preserve"> 3.2 </t>
  </si>
  <si>
    <t xml:space="preserve"> 3.2.1 </t>
  </si>
  <si>
    <t xml:space="preserve"> 3.2.1.1 </t>
  </si>
  <si>
    <t xml:space="preserve"> 94992 </t>
  </si>
  <si>
    <t>EXECUÇÃO DE PASSEIO (CALÇADA) OU PISO DE CONCRETO COM CONCRETO MOLDADO IN LOCO, FEITO EM OBRA, ACABAMENTO CONVENCIONAL, ESPESSURA 6 CM, ARMADO. AF_08/2022</t>
  </si>
  <si>
    <t xml:space="preserve"> 3.2.1.2 </t>
  </si>
  <si>
    <t xml:space="preserve"> 93396 </t>
  </si>
  <si>
    <t>BANCADA GRANITO CINZA,  50 X 60 CM, INCL. CUBA DE EMBUTIR OVAL LOUÇA BRANCA 35 X 50 CM, VÁLVULA METAL CROMADO, SIFÃO FLEXÍVEL PVC, ENGATE 30 CM FLEXÍVEL PLÁSTICO E TORNEIRA CROMADA DE MESA, PADRÃO POPULAR - FORNEC. E INSTALAÇÃO. AF_01/2020</t>
  </si>
  <si>
    <t xml:space="preserve"> 3.2.1.3 </t>
  </si>
  <si>
    <t xml:space="preserve"> C.ATA.ESQV.20 </t>
  </si>
  <si>
    <t>PORTA DE VIDRO TEMPERADO, 100 x 210CM, E= 10MM, COMPLETA COM FERRAGEM (COLOCAÇÃO E ACABAMENTO, DE ABRIR, UMA FOLHA, COM DOBRADIÇA ESPECIAL, MOLA HIDRÁULICA, FECHADURA, MAÇANETA E DEMAIS FERRAGENS DE ACABAMENTO) - FORNECIMENTO E INSTALAÇÃO</t>
  </si>
  <si>
    <t xml:space="preserve"> 3.2.1.4 </t>
  </si>
  <si>
    <t xml:space="preserve"> 150306 </t>
  </si>
  <si>
    <t>VIDRO LISO INCOLOR 10mm COM BAGUETE NEOPRENE</t>
  </si>
  <si>
    <t xml:space="preserve"> 3.2.1.5 </t>
  </si>
  <si>
    <t xml:space="preserve"> 101094 </t>
  </si>
  <si>
    <t>PISO PODOTÁTIL DE ALERTA OU DIRECIONAL, DE BORRACHA, ASSENTADO SOBRE ARGAMASSA. AF_05/2020</t>
  </si>
  <si>
    <t xml:space="preserve"> 3.2.2 </t>
  </si>
  <si>
    <t>Rampa Externa</t>
  </si>
  <si>
    <t xml:space="preserve"> 3.2.2.1 </t>
  </si>
  <si>
    <t xml:space="preserve"> 92268 </t>
  </si>
  <si>
    <t>FABRICAÇÃO DE FÔRMA PARA LAJES, EM CHAPA DE MADEIRA COMPENSADA PLASTIFICADA, E = 18 MM. AF_09/2020</t>
  </si>
  <si>
    <t xml:space="preserve"> 3.2.2.2 </t>
  </si>
  <si>
    <t xml:space="preserve"> 105004 </t>
  </si>
  <si>
    <t>RAMPA DE ACESSIBILIDADE EM CONCRETO MOLDADO IN LOCO, EM CALÇADA NOVA COM LARGURA MENOR À 3,00 M, FCK 25MPA, COM PISO PODOTÁTIL. AF_03/2024</t>
  </si>
  <si>
    <t xml:space="preserve"> 3.2.2.3 </t>
  </si>
  <si>
    <t xml:space="preserve"> 3.2.2.4 </t>
  </si>
  <si>
    <t xml:space="preserve"> 13030 </t>
  </si>
  <si>
    <t>Bicicletário em tubo de aço galvanizado diam=2.1/2", para 6 bicicletas, chumbadas no piso, incluso pintura de acabamento com 02 demãos</t>
  </si>
  <si>
    <t xml:space="preserve"> 3.2.3 </t>
  </si>
  <si>
    <t xml:space="preserve"> 3.2.3.1 </t>
  </si>
  <si>
    <t xml:space="preserve"> 95622 </t>
  </si>
  <si>
    <t>APLICAÇÃO MANUAL DE TINTA LÁTEX ACRÍLICA EM PANOS COM PRESENÇA DE VÃOS DE EDIFÍCIOS DE MÚLTIPLOS PAVIMENTOS, DUAS DEMÃOS. AF_03/2024</t>
  </si>
  <si>
    <t xml:space="preserve"> 3.2.4 </t>
  </si>
  <si>
    <t xml:space="preserve"> 3.2.4.1 </t>
  </si>
  <si>
    <t xml:space="preserve"> 3.2.4.2 </t>
  </si>
  <si>
    <t xml:space="preserve"> 103915 </t>
  </si>
  <si>
    <t>EXECUÇÃO DE PISO INDUSTRIAL DE CONCRETO ARMADO, FCK = 20 MPA, ESPESSURA DE 15,0 CM. AF_04/2022</t>
  </si>
  <si>
    <t xml:space="preserve"> 3.2.4.3 </t>
  </si>
  <si>
    <t xml:space="preserve"> 92802 </t>
  </si>
  <si>
    <t>CORTE E DOBRA DE AÇO CA-50, DIÂMETRO DE 8,0 MM. AF_06/2022</t>
  </si>
  <si>
    <t>KG</t>
  </si>
  <si>
    <t xml:space="preserve"> 3.2.4.4 </t>
  </si>
  <si>
    <t xml:space="preserve"> 92803 </t>
  </si>
  <si>
    <t>CORTE E DOBRA DE AÇO CA-50, DIÂMETRO DE 10,0 MM. AF_06/2022</t>
  </si>
  <si>
    <t xml:space="preserve"> 3.2.4.5 </t>
  </si>
  <si>
    <t xml:space="preserve"> 94966 </t>
  </si>
  <si>
    <t>CONCRETO FCK = 30MPA, TRAÇO 1:2,1:2,5 (EM MASSA SECA DE CIMENTO/ AREIA MÉDIA/ BRITA 1) - PREPARO MECÂNICO COM BETONEIRA 400 L. AF_05/2021</t>
  </si>
  <si>
    <t xml:space="preserve"> 3.2.4.6 </t>
  </si>
  <si>
    <t xml:space="preserve"> 071360 </t>
  </si>
  <si>
    <t>SEDOP</t>
  </si>
  <si>
    <t>Estrutura metálica p/ cobertura - (Incl. pintura anti-corrosiva)</t>
  </si>
  <si>
    <t>kg</t>
  </si>
  <si>
    <t xml:space="preserve"> 3.2.4.7 </t>
  </si>
  <si>
    <t xml:space="preserve"> 11849 </t>
  </si>
  <si>
    <t>Pintura de proteção e/ou acabamento sobre superfícies metálicas com aplicaçãode 02 demãos de primer epoxi rico em zinco, e = 35 micra - R1</t>
  </si>
  <si>
    <t xml:space="preserve"> 3.2.4.8 </t>
  </si>
  <si>
    <t xml:space="preserve"> 7808 </t>
  </si>
  <si>
    <t>Pintura de acabamento com aplicação de 02 demãos de esmalte sobre superfíciesmetálicas - R1</t>
  </si>
  <si>
    <t xml:space="preserve"> 3.2.4.9 </t>
  </si>
  <si>
    <t xml:space="preserve"> 9961 </t>
  </si>
  <si>
    <t>Telhamento com telha metálica em chapa de aço galvanizado natural ondulada e=0,5mm</t>
  </si>
  <si>
    <t xml:space="preserve"> 3.2.4.10 </t>
  </si>
  <si>
    <t xml:space="preserve"> 4653 </t>
  </si>
  <si>
    <t>Pintura de proteção ou acabamento com 02 demão de fundo selante à base de resina epóxi - REVRAN TLS - RENNER ou similar</t>
  </si>
  <si>
    <t xml:space="preserve"> 3.2.4.11 </t>
  </si>
  <si>
    <t xml:space="preserve"> 5056 </t>
  </si>
  <si>
    <t>Pintura de proteção sobre superfícies metálicas com aplicação de 02 demãos detinta epoximastic de alumínio modificado, bicomponente, SUMASTIC 228 AR, da Sherwin Williams - Sumaré ou similar - R1</t>
  </si>
  <si>
    <t xml:space="preserve"> 3.2.4.12 </t>
  </si>
  <si>
    <t xml:space="preserve"> 00040839 </t>
  </si>
  <si>
    <t>PARAFUSO, ASTM A307 - GRAU A, SEXTAVADO, ZINCADO, DIAMETRO 3/8" (9,52 MM), COMPRIMENTO 1" (25,4 MM)</t>
  </si>
  <si>
    <t>CENTO</t>
  </si>
  <si>
    <t xml:space="preserve"> 3.2.4.13 </t>
  </si>
  <si>
    <t xml:space="preserve"> 11072 </t>
  </si>
  <si>
    <t>Arruela lisa de 3/8"</t>
  </si>
  <si>
    <t xml:space="preserve"> 3.2.4.14 </t>
  </si>
  <si>
    <t xml:space="preserve"> 00004342 </t>
  </si>
  <si>
    <t>PORCA ZINCADA, SEXTAVADA, DIAMETRO 3/8"</t>
  </si>
  <si>
    <t xml:space="preserve"> 3.2.4.15 </t>
  </si>
  <si>
    <t xml:space="preserve"> 7872 </t>
  </si>
  <si>
    <t>Arruela de pressão 1/2"</t>
  </si>
  <si>
    <t xml:space="preserve"> 3.2.4.16 </t>
  </si>
  <si>
    <t xml:space="preserve"> 00004339 </t>
  </si>
  <si>
    <t>PORCA ZINCADA, SEXTAVADA, DIAMETRO 1/2"</t>
  </si>
  <si>
    <t xml:space="preserve"> 3.2.5 </t>
  </si>
  <si>
    <t xml:space="preserve"> 3.2.5.1 </t>
  </si>
  <si>
    <t xml:space="preserve"> 100142 </t>
  </si>
  <si>
    <t>TELHA METALICA SANDUICHE TRAPEZOIDAL 2 FACES TR40</t>
  </si>
  <si>
    <t xml:space="preserve"> 3.2.5.2 </t>
  </si>
  <si>
    <t xml:space="preserve"> 3.2.5.3 </t>
  </si>
  <si>
    <t xml:space="preserve"> 3.2.5.4 </t>
  </si>
  <si>
    <t xml:space="preserve"> 98547 </t>
  </si>
  <si>
    <t>IMPERMEABILIZAÇÃO DE SUPERFÍCIE COM MANTA ASFÁLTICA, DUAS CAMADAS, INCLUSIVE APLICAÇÃO DE PRIMER ASFÁLTICO, E=3MM E E=4MM. AF_09/2023</t>
  </si>
  <si>
    <t xml:space="preserve"> 3.2.5.5 </t>
  </si>
  <si>
    <t xml:space="preserve"> 102707 </t>
  </si>
  <si>
    <t>TUBO DE CONCRETO SIMPLES POROSO, DN 200 MM, PARA DRENO - FORNECIMENTO E ASSENTAMENTO. AF_07/2021</t>
  </si>
  <si>
    <t xml:space="preserve"> 3.3 </t>
  </si>
  <si>
    <t>Elétrica</t>
  </si>
  <si>
    <t xml:space="preserve"> 3.3.1 </t>
  </si>
  <si>
    <t xml:space="preserve"> 104479 </t>
  </si>
  <si>
    <t>COMPOSIÇÃO PARAMÉTRICA DE PONTO ELÉTRICO DE TOMADA DE USO GERAL 2P+T (10A/250V) EM EDIFÍCIO RESIDENCIAL COM ELETRODUTO EMBUTIDO SEM NECESSIDADE DE RASGOS, INCLUSO TOMADA, ELETRODUTO, CABO E QUEBRA. AF_11/2022</t>
  </si>
  <si>
    <t xml:space="preserve"> 3.3.2 </t>
  </si>
  <si>
    <t xml:space="preserve"> 11418 </t>
  </si>
  <si>
    <t>Tomada para lógica, rj45, com placa</t>
  </si>
  <si>
    <t xml:space="preserve"> 4 </t>
  </si>
  <si>
    <t>Descarte e outros</t>
  </si>
  <si>
    <t xml:space="preserve"> 4.1 </t>
  </si>
  <si>
    <t xml:space="preserve"> 018506 </t>
  </si>
  <si>
    <t>ALUGUEL MENSAL ANDAIME TUBULAR ATE ALTURA 9,0 METROS</t>
  </si>
  <si>
    <t xml:space="preserve"> 4.2 </t>
  </si>
  <si>
    <t xml:space="preserve"> 018505 </t>
  </si>
  <si>
    <t>ALUGUEL MENSAL ANDAIME TUBULAR ATE ALTURA 6,0 METROS</t>
  </si>
  <si>
    <t xml:space="preserve"> 4.3 </t>
  </si>
  <si>
    <t xml:space="preserve"> 10039 </t>
  </si>
  <si>
    <t>Descarte de resíduos da construção civil em área licenciada</t>
  </si>
  <si>
    <t>t</t>
  </si>
  <si>
    <t>Totais -&gt;</t>
  </si>
  <si>
    <t>614.731,09</t>
  </si>
  <si>
    <t>1.987.510,43</t>
  </si>
  <si>
    <t>2.602.241,52</t>
  </si>
  <si>
    <t>Total sem BDI</t>
  </si>
  <si>
    <t>Total do BDI</t>
  </si>
  <si>
    <t>Total Geral</t>
  </si>
  <si>
    <t>_______________________________________________________________
Divisão de Obras
Setor de Engenharia</t>
  </si>
  <si>
    <t>687.225,62</t>
  </si>
  <si>
    <t>1.987.670,04</t>
  </si>
  <si>
    <t>2.674.895,66</t>
  </si>
  <si>
    <t>Fórum de Apucarana - NÃO DESONERADO (23-04-2025)</t>
  </si>
  <si>
    <t>Obra da Comarca do Fórum de Santa Felicidade</t>
  </si>
  <si>
    <t>TABELA LIMITES PARA BDI</t>
  </si>
  <si>
    <t>BDI  PADRÃO</t>
  </si>
  <si>
    <t xml:space="preserve"> BDI  DIFERENCIADO 
</t>
  </si>
  <si>
    <t>PARCELA DO BDI</t>
  </si>
  <si>
    <t>Desonerado</t>
  </si>
  <si>
    <t>Não desonerado</t>
  </si>
  <si>
    <t>AC</t>
  </si>
  <si>
    <t>Administração Central</t>
  </si>
  <si>
    <t>S+G</t>
  </si>
  <si>
    <t>Segurança + Garantia</t>
  </si>
  <si>
    <t>R</t>
  </si>
  <si>
    <t>Risco</t>
  </si>
  <si>
    <t>DF</t>
  </si>
  <si>
    <t>Despesas Financeiras</t>
  </si>
  <si>
    <t>L</t>
  </si>
  <si>
    <t>Lucro bruto</t>
  </si>
  <si>
    <t>I</t>
  </si>
  <si>
    <t>Impostos</t>
  </si>
  <si>
    <t>PIS</t>
  </si>
  <si>
    <t>COFINS</t>
  </si>
  <si>
    <t>ISS*</t>
  </si>
  <si>
    <t>INSS relativo a CPRB</t>
  </si>
  <si>
    <t>TOTAL</t>
  </si>
  <si>
    <t>* Código tributário Lei Complementar xx40 - x% aplicado sobre x% do valor base (dedução de x% relativo a material) - alíquota efetiva x%, conforme lei municipal XXX/XX</t>
  </si>
  <si>
    <t>CÁLCULO VALOR ISS  ONERADO</t>
  </si>
  <si>
    <t>CÁLCULO VALOR ISS DESONERADO</t>
  </si>
  <si>
    <t>%</t>
  </si>
  <si>
    <t>$ mão de obra sem Bdi</t>
  </si>
  <si>
    <t>$ material  + equipamentos sem Bdi</t>
  </si>
  <si>
    <t>$ Total  orçamento sem Bdi</t>
  </si>
  <si>
    <t>Alíquota  *</t>
  </si>
  <si>
    <t>% ISS</t>
  </si>
  <si>
    <t>aliquota receita bruta construção</t>
  </si>
  <si>
    <t>anos</t>
  </si>
  <si>
    <t>alíquota vigente</t>
  </si>
  <si>
    <t>inss cprb /bdi</t>
  </si>
  <si>
    <t>No ano de 2025, as empresas desoneradas deverão pagar 5% de INSS patronal, sobre a folha de pagamento, e 80% da alíquota vigente do CPRB, aplicado nas receitas brutas, no caso da Construção Civil que é 4,5%, isso resulta em 3,6% de contribuição sobre as receitas, a ser pago junto dos 5% sobre a folha de pagamento. Para 2026, o INSS patronal a ser pago passa a ser de 10%, e a alíquota sobre as receitas em 60% da alíquota vigente. No último ano da desoneração, 2027, o INSS patronal a ser pago é de 15% e 40% da alíquota vigente sobre as receitas brutas.</t>
  </si>
  <si>
    <t>VARIADO</t>
  </si>
  <si>
    <t>Não Desonerado</t>
  </si>
  <si>
    <t>Desconto</t>
  </si>
  <si>
    <t>BDI</t>
  </si>
  <si>
    <t>BDI Aplicável</t>
  </si>
  <si>
    <t>Custo Total com BDI</t>
  </si>
  <si>
    <t>Valor Unit com BDI + Desc.</t>
  </si>
  <si>
    <t>Custo Total com BDI + Desc.</t>
  </si>
  <si>
    <t>VALOR A CONTRATAR (VC):</t>
  </si>
  <si>
    <t xml:space="preserve"> BDI  DIFERENCIADO </t>
  </si>
  <si>
    <t>MEDIÇÃO 1 - DATA XX/XX/XXXX</t>
  </si>
  <si>
    <t>PREVISTO</t>
  </si>
  <si>
    <t>EXECUTADO</t>
  </si>
  <si>
    <t>Valor</t>
  </si>
  <si>
    <t>PREVISTO 1ª MEDIÇÃO</t>
  </si>
  <si>
    <t>EXECUTADO 1ª MEDIÇÃO</t>
  </si>
  <si>
    <t>MEDIÇÃO 2 - DATA XX/XX/XXXX</t>
  </si>
  <si>
    <t>MEDIÇÃO 3 - DATA XX/XX/XXXX</t>
  </si>
  <si>
    <t>MEDIÇÃO 4 - DATA XX/XX/XXXX</t>
  </si>
  <si>
    <t>MEDIÇÃO 5 - DATA XX/XX/XXXX</t>
  </si>
  <si>
    <t>MEDIÇÃO 6 - DATA XX/XX/XXXX</t>
  </si>
  <si>
    <t>PREVISTO 2ª MEDIÇÃO</t>
  </si>
  <si>
    <t>EXECUTADO 2ª MEDIÇÃO</t>
  </si>
  <si>
    <t>PREVISTO 3ª MEDIÇÃO</t>
  </si>
  <si>
    <t>EXECUTADO 3ª MEDIÇÃO</t>
  </si>
  <si>
    <t>PREVISTO 4ª MEDIÇÃO</t>
  </si>
  <si>
    <t>EXECUTADO 4ª MEDIÇÃO</t>
  </si>
  <si>
    <t>PREVISTO 5ª MEDIÇÃO</t>
  </si>
  <si>
    <t>EXECUTADO 5ª MEDIÇÃO</t>
  </si>
  <si>
    <t>PREVISTO 6ª MEDIÇÃO</t>
  </si>
  <si>
    <t>EXECUTADO 6ª MEDIÇÃO</t>
  </si>
  <si>
    <t>ACUMULADO</t>
  </si>
  <si>
    <t>TOTAL EXECUTADO</t>
  </si>
  <si>
    <t>TOTAL A EXECUTAR</t>
  </si>
  <si>
    <t>TOTAL ACUMULADO</t>
  </si>
  <si>
    <t>A EXECUTAR</t>
  </si>
  <si>
    <t>CRONOGRAMA DE DESEMBOLSO FINANCEIRO</t>
  </si>
  <si>
    <t>ITEM</t>
  </si>
  <si>
    <t>SERVIÇO</t>
  </si>
  <si>
    <t>VALOR C/ BDI E DESCONTO</t>
  </si>
  <si>
    <t>PRAZO</t>
  </si>
  <si>
    <t>1ª Parcela -</t>
  </si>
  <si>
    <t>XX/XX/XXXX</t>
  </si>
  <si>
    <t>2ª Parcela -</t>
  </si>
  <si>
    <t>3ª Parcela -</t>
  </si>
  <si>
    <t>REALIZADO</t>
  </si>
  <si>
    <t>(%)</t>
  </si>
  <si>
    <t>(R$)</t>
  </si>
  <si>
    <t>TOTAL PREVISTO</t>
  </si>
  <si>
    <t xml:space="preserve">VALOR DO CONTRATO ORIGINAL   </t>
  </si>
  <si>
    <t>VALOR TOTAL</t>
  </si>
  <si>
    <t>ACUMULADO  ===&gt;</t>
  </si>
  <si>
    <t>4ª Parcela -</t>
  </si>
  <si>
    <t>5ª Parcela -</t>
  </si>
  <si>
    <t>6ª Parcela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</si>
</sst>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#,##0.00\ %"/>
    <numFmt numFmtId="165" formatCode="0.000%"/>
    <numFmt numFmtId="166" formatCode="_(&quot;R$ &quot;* #,##0.00_);_(&quot;R$ &quot;* \(#,##0.00\);_(&quot;R$ &quot;* &quot;-&quot;??_);_(@_)"/>
  </numFmts>
  <fonts count="3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color rgb="FF000000"/>
      <name val="Calibri"/>
      <family val="2"/>
      <charset val="1"/>
    </font>
    <font>
      <sz val="11"/>
      <color theme="1"/>
      <name val="Arial"/>
      <family val="2"/>
    </font>
    <font>
      <b/>
      <sz val="16"/>
      <color theme="0"/>
      <name val="Aptos Narrow"/>
      <family val="2"/>
      <scheme val="minor"/>
    </font>
    <font>
      <b/>
      <sz val="14"/>
      <color rgb="FF000000"/>
      <name val="Calibri"/>
      <family val="2"/>
      <charset val="1"/>
    </font>
    <font>
      <b/>
      <sz val="12"/>
      <color theme="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rgb="FF000000"/>
      <name val="Arial"/>
      <family val="1"/>
      <charset val="1"/>
    </font>
    <font>
      <b/>
      <sz val="10"/>
      <color rgb="FFFF0000"/>
      <name val="Arial"/>
      <family val="1"/>
      <charset val="1"/>
    </font>
    <font>
      <sz val="11"/>
      <color rgb="FFFF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rgb="FF000000"/>
      <name val="Aptos Narrow"/>
      <family val="2"/>
      <scheme val="minor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113140"/>
        <bgColor indexed="64"/>
      </patternFill>
    </fill>
    <fill>
      <patternFill patternType="solid">
        <fgColor rgb="FF008C95"/>
        <bgColor rgb="FFB4C7E7"/>
      </patternFill>
    </fill>
    <fill>
      <patternFill patternType="solid">
        <fgColor rgb="FF008C95"/>
        <bgColor indexed="64"/>
      </patternFill>
    </fill>
    <fill>
      <patternFill patternType="solid">
        <fgColor rgb="FFE7E6E6"/>
        <bgColor rgb="FFDEEBF7"/>
      </patternFill>
    </fill>
    <fill>
      <patternFill patternType="solid">
        <fgColor rgb="FFE7E6E6"/>
        <bgColor indexed="64"/>
      </patternFill>
    </fill>
    <fill>
      <patternFill patternType="solid">
        <fgColor rgb="FF49C5B1"/>
        <bgColor indexed="64"/>
      </patternFill>
    </fill>
    <fill>
      <patternFill patternType="solid">
        <fgColor rgb="FF49C5B1"/>
        <bgColor rgb="FFDEEBF7"/>
      </patternFill>
    </fill>
    <fill>
      <patternFill patternType="solid">
        <fgColor rgb="FFFFFF99"/>
        <bgColor rgb="FFFFEB9C"/>
      </patternFill>
    </fill>
    <fill>
      <patternFill patternType="solid">
        <fgColor rgb="FFFFFFFF"/>
      </patternFill>
    </fill>
    <fill>
      <patternFill patternType="solid">
        <fgColor rgb="FFFFFF00"/>
        <bgColor rgb="FFFFCC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7F3DF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9" fillId="0" borderId="0"/>
    <xf numFmtId="0" fontId="1" fillId="0" borderId="0"/>
    <xf numFmtId="9" fontId="9" fillId="0" borderId="0" applyBorder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469">
    <xf numFmtId="0" fontId="0" fillId="0" borderId="0" xfId="0"/>
    <xf numFmtId="0" fontId="4" fillId="2" borderId="0" xfId="3" applyFont="1" applyFill="1" applyAlignment="1">
      <alignment horizontal="left" vertical="top" wrapText="1"/>
    </xf>
    <xf numFmtId="0" fontId="3" fillId="0" borderId="0" xfId="3"/>
    <xf numFmtId="0" fontId="5" fillId="2" borderId="0" xfId="3" applyFont="1" applyFill="1" applyAlignment="1">
      <alignment horizontal="left" vertical="top" wrapText="1"/>
    </xf>
    <xf numFmtId="0" fontId="6" fillId="3" borderId="1" xfId="3" applyFont="1" applyFill="1" applyBorder="1" applyAlignment="1">
      <alignment horizontal="left" vertical="top" wrapText="1"/>
    </xf>
    <xf numFmtId="0" fontId="6" fillId="3" borderId="1" xfId="3" applyFont="1" applyFill="1" applyBorder="1" applyAlignment="1">
      <alignment horizontal="right" vertical="top" wrapText="1"/>
    </xf>
    <xf numFmtId="164" fontId="6" fillId="3" borderId="1" xfId="3" applyNumberFormat="1" applyFont="1" applyFill="1" applyBorder="1" applyAlignment="1">
      <alignment horizontal="right" vertical="top" wrapText="1"/>
    </xf>
    <xf numFmtId="0" fontId="7" fillId="4" borderId="1" xfId="3" applyFont="1" applyFill="1" applyBorder="1" applyAlignment="1">
      <alignment horizontal="left" vertical="top" wrapText="1"/>
    </xf>
    <xf numFmtId="0" fontId="7" fillId="4" borderId="1" xfId="3" applyFont="1" applyFill="1" applyBorder="1" applyAlignment="1">
      <alignment horizontal="right" vertical="top" wrapText="1"/>
    </xf>
    <xf numFmtId="0" fontId="7" fillId="4" borderId="1" xfId="3" applyFont="1" applyFill="1" applyBorder="1" applyAlignment="1">
      <alignment horizontal="center" vertical="top" wrapText="1"/>
    </xf>
    <xf numFmtId="164" fontId="7" fillId="4" borderId="1" xfId="3" applyNumberFormat="1" applyFont="1" applyFill="1" applyBorder="1" applyAlignment="1">
      <alignment horizontal="right" vertical="top" wrapText="1"/>
    </xf>
    <xf numFmtId="0" fontId="7" fillId="5" borderId="1" xfId="3" applyFont="1" applyFill="1" applyBorder="1" applyAlignment="1">
      <alignment horizontal="left" vertical="top" wrapText="1"/>
    </xf>
    <xf numFmtId="0" fontId="7" fillId="5" borderId="1" xfId="3" applyFont="1" applyFill="1" applyBorder="1" applyAlignment="1">
      <alignment horizontal="right" vertical="top" wrapText="1"/>
    </xf>
    <xf numFmtId="0" fontId="7" fillId="5" borderId="1" xfId="3" applyFont="1" applyFill="1" applyBorder="1" applyAlignment="1">
      <alignment horizontal="center" vertical="top" wrapText="1"/>
    </xf>
    <xf numFmtId="164" fontId="7" fillId="5" borderId="1" xfId="3" applyNumberFormat="1" applyFont="1" applyFill="1" applyBorder="1" applyAlignment="1">
      <alignment horizontal="right" vertical="top" wrapText="1"/>
    </xf>
    <xf numFmtId="0" fontId="5" fillId="2" borderId="0" xfId="3" applyFont="1" applyFill="1" applyAlignment="1">
      <alignment horizontal="right" vertical="top" wrapText="1"/>
    </xf>
    <xf numFmtId="0" fontId="8" fillId="2" borderId="0" xfId="3" applyFont="1" applyFill="1" applyAlignment="1">
      <alignment horizontal="center" vertical="top" wrapText="1"/>
    </xf>
    <xf numFmtId="0" fontId="8" fillId="2" borderId="0" xfId="3" applyFont="1" applyFill="1" applyAlignment="1">
      <alignment horizontal="left" vertical="top" wrapText="1"/>
    </xf>
    <xf numFmtId="0" fontId="5" fillId="2" borderId="0" xfId="3" applyFont="1" applyFill="1" applyAlignment="1">
      <alignment horizontal="center" vertical="top" wrapText="1"/>
    </xf>
    <xf numFmtId="0" fontId="9" fillId="0" borderId="0" xfId="4" applyAlignment="1">
      <alignment vertical="center"/>
    </xf>
    <xf numFmtId="0" fontId="9" fillId="0" borderId="0" xfId="4" applyAlignment="1">
      <alignment horizontal="center" vertical="center"/>
    </xf>
    <xf numFmtId="0" fontId="13" fillId="6" borderId="3" xfId="4" applyFont="1" applyFill="1" applyBorder="1" applyAlignment="1">
      <alignment horizontal="center" vertical="center"/>
    </xf>
    <xf numFmtId="0" fontId="13" fillId="6" borderId="4" xfId="4" applyFont="1" applyFill="1" applyBorder="1" applyAlignment="1">
      <alignment horizontal="center" vertical="center"/>
    </xf>
    <xf numFmtId="0" fontId="15" fillId="9" borderId="10" xfId="4" applyFont="1" applyFill="1" applyBorder="1" applyAlignment="1">
      <alignment horizontal="center" vertical="center" wrapText="1"/>
    </xf>
    <xf numFmtId="0" fontId="15" fillId="9" borderId="3" xfId="4" applyFont="1" applyFill="1" applyBorder="1" applyAlignment="1">
      <alignment horizontal="left" vertical="center" wrapText="1"/>
    </xf>
    <xf numFmtId="10" fontId="9" fillId="10" borderId="3" xfId="6" applyNumberFormat="1" applyFill="1" applyBorder="1" applyAlignment="1">
      <alignment horizontal="center" vertical="center"/>
    </xf>
    <xf numFmtId="10" fontId="9" fillId="10" borderId="4" xfId="6" applyNumberFormat="1" applyFill="1" applyBorder="1" applyAlignment="1">
      <alignment horizontal="center" vertical="center"/>
    </xf>
    <xf numFmtId="0" fontId="15" fillId="12" borderId="3" xfId="4" applyFont="1" applyFill="1" applyBorder="1" applyAlignment="1">
      <alignment horizontal="left" vertical="center" wrapText="1"/>
    </xf>
    <xf numFmtId="10" fontId="9" fillId="11" borderId="3" xfId="6" applyNumberFormat="1" applyFill="1" applyBorder="1" applyAlignment="1">
      <alignment horizontal="center" vertical="center"/>
    </xf>
    <xf numFmtId="10" fontId="9" fillId="11" borderId="4" xfId="6" applyNumberFormat="1" applyFill="1" applyBorder="1" applyAlignment="1">
      <alignment horizontal="center" vertical="center"/>
    </xf>
    <xf numFmtId="0" fontId="16" fillId="12" borderId="3" xfId="4" applyFont="1" applyFill="1" applyBorder="1" applyAlignment="1">
      <alignment horizontal="left" vertical="center" wrapText="1"/>
    </xf>
    <xf numFmtId="10" fontId="17" fillId="11" borderId="3" xfId="6" applyNumberFormat="1" applyFont="1" applyFill="1" applyBorder="1" applyAlignment="1">
      <alignment horizontal="center" vertical="center"/>
    </xf>
    <xf numFmtId="10" fontId="17" fillId="11" borderId="4" xfId="6" applyNumberFormat="1" applyFont="1" applyFill="1" applyBorder="1" applyAlignment="1">
      <alignment horizontal="center" vertical="center"/>
    </xf>
    <xf numFmtId="10" fontId="18" fillId="8" borderId="3" xfId="6" applyNumberFormat="1" applyFont="1" applyFill="1" applyBorder="1" applyAlignment="1" applyProtection="1">
      <alignment horizontal="center" vertical="center"/>
    </xf>
    <xf numFmtId="10" fontId="18" fillId="8" borderId="4" xfId="6" applyNumberFormat="1" applyFont="1" applyFill="1" applyBorder="1" applyAlignment="1" applyProtection="1">
      <alignment horizontal="center" vertical="center"/>
    </xf>
    <xf numFmtId="165" fontId="0" fillId="0" borderId="0" xfId="6" applyNumberFormat="1" applyFont="1" applyBorder="1" applyAlignment="1" applyProtection="1">
      <alignment vertical="center"/>
    </xf>
    <xf numFmtId="0" fontId="20" fillId="0" borderId="14" xfId="4" applyFont="1" applyBorder="1" applyAlignment="1">
      <alignment vertical="center"/>
    </xf>
    <xf numFmtId="0" fontId="4" fillId="14" borderId="14" xfId="5" applyFont="1" applyFill="1" applyBorder="1" applyAlignment="1">
      <alignment horizontal="left" vertical="top" wrapText="1"/>
    </xf>
    <xf numFmtId="10" fontId="20" fillId="0" borderId="14" xfId="8" applyNumberFormat="1" applyFont="1" applyBorder="1" applyAlignment="1" applyProtection="1">
      <alignment horizontal="center" vertical="center"/>
    </xf>
    <xf numFmtId="10" fontId="22" fillId="0" borderId="14" xfId="8" applyNumberFormat="1" applyFont="1" applyBorder="1" applyAlignment="1" applyProtection="1">
      <alignment horizontal="center" vertical="center"/>
    </xf>
    <xf numFmtId="9" fontId="9" fillId="0" borderId="14" xfId="8" applyFont="1" applyBorder="1" applyAlignment="1" applyProtection="1">
      <alignment horizontal="center" vertical="center"/>
    </xf>
    <xf numFmtId="0" fontId="19" fillId="0" borderId="14" xfId="4" applyFont="1" applyBorder="1" applyAlignment="1">
      <alignment vertical="center"/>
    </xf>
    <xf numFmtId="9" fontId="21" fillId="0" borderId="14" xfId="6" applyFont="1" applyBorder="1" applyAlignment="1" applyProtection="1">
      <alignment vertical="center"/>
    </xf>
    <xf numFmtId="0" fontId="21" fillId="0" borderId="14" xfId="4" applyFont="1" applyBorder="1" applyAlignment="1">
      <alignment vertical="center"/>
    </xf>
    <xf numFmtId="0" fontId="2" fillId="16" borderId="14" xfId="5" applyFont="1" applyFill="1" applyBorder="1" applyAlignment="1">
      <alignment wrapText="1"/>
    </xf>
    <xf numFmtId="0" fontId="2" fillId="0" borderId="14" xfId="5" applyFont="1" applyBorder="1"/>
    <xf numFmtId="0" fontId="2" fillId="0" borderId="14" xfId="5" applyFont="1" applyBorder="1" applyAlignment="1">
      <alignment wrapText="1"/>
    </xf>
    <xf numFmtId="0" fontId="1" fillId="0" borderId="14" xfId="5" applyBorder="1"/>
    <xf numFmtId="9" fontId="0" fillId="0" borderId="14" xfId="8" applyFont="1" applyBorder="1"/>
    <xf numFmtId="10" fontId="2" fillId="0" borderId="14" xfId="8" applyNumberFormat="1" applyFont="1" applyBorder="1"/>
    <xf numFmtId="0" fontId="9" fillId="0" borderId="0" xfId="4"/>
    <xf numFmtId="44" fontId="4" fillId="2" borderId="1" xfId="1" applyFont="1" applyFill="1" applyBorder="1" applyAlignment="1">
      <alignment horizontal="right" vertical="top" wrapText="1"/>
    </xf>
    <xf numFmtId="44" fontId="6" fillId="3" borderId="1" xfId="1" applyFont="1" applyFill="1" applyBorder="1" applyAlignment="1">
      <alignment horizontal="left" vertical="top" wrapText="1"/>
    </xf>
    <xf numFmtId="44" fontId="6" fillId="3" borderId="1" xfId="1" applyFont="1" applyFill="1" applyBorder="1" applyAlignment="1">
      <alignment horizontal="right" vertical="top" wrapText="1"/>
    </xf>
    <xf numFmtId="44" fontId="7" fillId="4" borderId="1" xfId="1" applyFont="1" applyFill="1" applyBorder="1" applyAlignment="1">
      <alignment horizontal="right" vertical="top" wrapText="1"/>
    </xf>
    <xf numFmtId="44" fontId="7" fillId="5" borderId="1" xfId="1" applyFont="1" applyFill="1" applyBorder="1" applyAlignment="1">
      <alignment horizontal="right" vertical="top" wrapText="1"/>
    </xf>
    <xf numFmtId="44" fontId="5" fillId="2" borderId="0" xfId="1" applyFont="1" applyFill="1" applyAlignment="1">
      <alignment horizontal="right" vertical="top" wrapText="1"/>
    </xf>
    <xf numFmtId="44" fontId="8" fillId="2" borderId="0" xfId="1" applyFont="1" applyFill="1" applyAlignment="1">
      <alignment horizontal="center" vertical="top" wrapText="1"/>
    </xf>
    <xf numFmtId="44" fontId="5" fillId="2" borderId="0" xfId="1" applyFont="1" applyFill="1" applyAlignment="1">
      <alignment horizontal="center" vertical="top" wrapText="1"/>
    </xf>
    <xf numFmtId="44" fontId="3" fillId="0" borderId="0" xfId="1" applyFont="1"/>
    <xf numFmtId="10" fontId="4" fillId="14" borderId="0" xfId="2" applyNumberFormat="1" applyFont="1" applyFill="1" applyAlignment="1">
      <alignment vertical="top" wrapText="1"/>
    </xf>
    <xf numFmtId="44" fontId="0" fillId="0" borderId="0" xfId="1" applyFont="1"/>
    <xf numFmtId="0" fontId="4" fillId="14" borderId="14" xfId="0" applyFont="1" applyFill="1" applyBorder="1" applyAlignment="1">
      <alignment horizontal="right" vertical="top" wrapText="1"/>
    </xf>
    <xf numFmtId="44" fontId="4" fillId="14" borderId="14" xfId="1" applyFont="1" applyFill="1" applyBorder="1" applyAlignment="1">
      <alignment horizontal="right" vertical="top" wrapText="1"/>
    </xf>
    <xf numFmtId="4" fontId="6" fillId="17" borderId="14" xfId="0" applyNumberFormat="1" applyFont="1" applyFill="1" applyBorder="1" applyAlignment="1">
      <alignment horizontal="right" vertical="center" wrapText="1"/>
    </xf>
    <xf numFmtId="44" fontId="6" fillId="17" borderId="14" xfId="1" applyFont="1" applyFill="1" applyBorder="1" applyAlignment="1">
      <alignment horizontal="right" vertical="center" wrapText="1"/>
    </xf>
    <xf numFmtId="4" fontId="7" fillId="18" borderId="14" xfId="0" applyNumberFormat="1" applyFont="1" applyFill="1" applyBorder="1" applyAlignment="1">
      <alignment horizontal="center" vertical="center" wrapText="1"/>
    </xf>
    <xf numFmtId="10" fontId="7" fillId="18" borderId="14" xfId="2" applyNumberFormat="1" applyFont="1" applyFill="1" applyBorder="1" applyAlignment="1">
      <alignment horizontal="center" vertical="center" wrapText="1"/>
    </xf>
    <xf numFmtId="44" fontId="7" fillId="18" borderId="14" xfId="1" applyFont="1" applyFill="1" applyBorder="1" applyAlignment="1">
      <alignment horizontal="center" vertical="center" wrapText="1"/>
    </xf>
    <xf numFmtId="4" fontId="6" fillId="17" borderId="14" xfId="0" applyNumberFormat="1" applyFont="1" applyFill="1" applyBorder="1" applyAlignment="1">
      <alignment horizontal="center" vertical="center" wrapText="1"/>
    </xf>
    <xf numFmtId="44" fontId="6" fillId="17" borderId="14" xfId="1" applyFont="1" applyFill="1" applyBorder="1" applyAlignment="1">
      <alignment horizontal="center" vertical="center" wrapText="1"/>
    </xf>
    <xf numFmtId="0" fontId="0" fillId="19" borderId="14" xfId="0" applyFill="1" applyBorder="1" applyAlignment="1">
      <alignment horizontal="center" vertical="center"/>
    </xf>
    <xf numFmtId="0" fontId="7" fillId="20" borderId="14" xfId="0" applyFont="1" applyFill="1" applyBorder="1" applyAlignment="1">
      <alignment horizontal="center" vertical="top" wrapText="1"/>
    </xf>
    <xf numFmtId="10" fontId="7" fillId="20" borderId="14" xfId="2" applyNumberFormat="1" applyFont="1" applyFill="1" applyBorder="1" applyAlignment="1">
      <alignment horizontal="center" vertical="top" wrapText="1"/>
    </xf>
    <xf numFmtId="0" fontId="8" fillId="14" borderId="0" xfId="0" applyFont="1" applyFill="1" applyAlignment="1">
      <alignment horizontal="center" vertical="top" wrapText="1"/>
    </xf>
    <xf numFmtId="0" fontId="5" fillId="14" borderId="0" xfId="0" applyFont="1" applyFill="1" applyAlignment="1">
      <alignment horizontal="center" vertical="top" wrapText="1"/>
    </xf>
    <xf numFmtId="44" fontId="23" fillId="0" borderId="18" xfId="1" applyFont="1" applyBorder="1"/>
    <xf numFmtId="0" fontId="4" fillId="2" borderId="14" xfId="3" applyFont="1" applyFill="1" applyBorder="1" applyAlignment="1">
      <alignment horizontal="right" vertical="top" wrapText="1"/>
    </xf>
    <xf numFmtId="0" fontId="6" fillId="3" borderId="14" xfId="3" applyFont="1" applyFill="1" applyBorder="1" applyAlignment="1">
      <alignment horizontal="left" vertical="top" wrapText="1"/>
    </xf>
    <xf numFmtId="0" fontId="6" fillId="3" borderId="14" xfId="3" applyFont="1" applyFill="1" applyBorder="1" applyAlignment="1">
      <alignment horizontal="right" vertical="top" wrapText="1"/>
    </xf>
    <xf numFmtId="4" fontId="6" fillId="3" borderId="14" xfId="3" applyNumberFormat="1" applyFont="1" applyFill="1" applyBorder="1" applyAlignment="1">
      <alignment horizontal="right" vertical="top" wrapText="1"/>
    </xf>
    <xf numFmtId="164" fontId="6" fillId="3" borderId="14" xfId="3" applyNumberFormat="1" applyFont="1" applyFill="1" applyBorder="1" applyAlignment="1">
      <alignment horizontal="right" vertical="top" wrapText="1"/>
    </xf>
    <xf numFmtId="0" fontId="7" fillId="4" borderId="14" xfId="3" applyFont="1" applyFill="1" applyBorder="1" applyAlignment="1">
      <alignment horizontal="left" vertical="top" wrapText="1"/>
    </xf>
    <xf numFmtId="0" fontId="7" fillId="4" borderId="14" xfId="3" applyFont="1" applyFill="1" applyBorder="1" applyAlignment="1">
      <alignment horizontal="right" vertical="top" wrapText="1"/>
    </xf>
    <xf numFmtId="0" fontId="7" fillId="4" borderId="14" xfId="3" applyFont="1" applyFill="1" applyBorder="1" applyAlignment="1">
      <alignment horizontal="center" vertical="top" wrapText="1"/>
    </xf>
    <xf numFmtId="4" fontId="7" fillId="4" borderId="14" xfId="3" applyNumberFormat="1" applyFont="1" applyFill="1" applyBorder="1" applyAlignment="1">
      <alignment horizontal="right" vertical="top" wrapText="1"/>
    </xf>
    <xf numFmtId="164" fontId="7" fillId="4" borderId="14" xfId="3" applyNumberFormat="1" applyFont="1" applyFill="1" applyBorder="1" applyAlignment="1">
      <alignment horizontal="right" vertical="top" wrapText="1"/>
    </xf>
    <xf numFmtId="0" fontId="7" fillId="5" borderId="14" xfId="3" applyFont="1" applyFill="1" applyBorder="1" applyAlignment="1">
      <alignment horizontal="left" vertical="top" wrapText="1"/>
    </xf>
    <xf numFmtId="0" fontId="7" fillId="5" borderId="14" xfId="3" applyFont="1" applyFill="1" applyBorder="1" applyAlignment="1">
      <alignment horizontal="right" vertical="top" wrapText="1"/>
    </xf>
    <xf numFmtId="0" fontId="7" fillId="5" borderId="14" xfId="3" applyFont="1" applyFill="1" applyBorder="1" applyAlignment="1">
      <alignment horizontal="center" vertical="top" wrapText="1"/>
    </xf>
    <xf numFmtId="4" fontId="7" fillId="5" borderId="14" xfId="3" applyNumberFormat="1" applyFont="1" applyFill="1" applyBorder="1" applyAlignment="1">
      <alignment horizontal="right" vertical="top" wrapText="1"/>
    </xf>
    <xf numFmtId="164" fontId="7" fillId="5" borderId="14" xfId="3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6" fillId="3" borderId="14" xfId="3" applyFont="1" applyFill="1" applyBorder="1" applyAlignment="1">
      <alignment horizontal="center" vertical="center" wrapText="1"/>
    </xf>
    <xf numFmtId="0" fontId="7" fillId="4" borderId="14" xfId="3" applyFont="1" applyFill="1" applyBorder="1" applyAlignment="1">
      <alignment horizontal="center" vertical="center" wrapText="1"/>
    </xf>
    <xf numFmtId="0" fontId="7" fillId="5" borderId="14" xfId="3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0" xfId="3" applyFont="1" applyFill="1" applyAlignment="1">
      <alignment horizontal="left" vertical="center" wrapText="1"/>
    </xf>
    <xf numFmtId="0" fontId="5" fillId="2" borderId="0" xfId="3" applyFont="1" applyFill="1" applyAlignment="1">
      <alignment horizontal="left" vertical="center" wrapText="1"/>
    </xf>
    <xf numFmtId="0" fontId="6" fillId="3" borderId="14" xfId="3" applyFont="1" applyFill="1" applyBorder="1" applyAlignment="1">
      <alignment horizontal="left" vertical="center" wrapText="1"/>
    </xf>
    <xf numFmtId="0" fontId="7" fillId="4" borderId="14" xfId="3" applyFont="1" applyFill="1" applyBorder="1" applyAlignment="1">
      <alignment horizontal="left" vertical="center" wrapText="1"/>
    </xf>
    <xf numFmtId="0" fontId="7" fillId="4" borderId="14" xfId="3" applyFont="1" applyFill="1" applyBorder="1" applyAlignment="1">
      <alignment horizontal="right" vertical="center" wrapText="1"/>
    </xf>
    <xf numFmtId="0" fontId="7" fillId="5" borderId="14" xfId="3" applyFont="1" applyFill="1" applyBorder="1" applyAlignment="1">
      <alignment horizontal="left" vertical="center" wrapText="1"/>
    </xf>
    <xf numFmtId="0" fontId="7" fillId="5" borderId="14" xfId="3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5" fillId="14" borderId="0" xfId="0" applyFont="1" applyFill="1" applyAlignment="1">
      <alignment vertical="top" wrapText="1"/>
    </xf>
    <xf numFmtId="0" fontId="5" fillId="2" borderId="0" xfId="3" applyFont="1" applyFill="1" applyAlignment="1">
      <alignment vertical="center" wrapText="1"/>
    </xf>
    <xf numFmtId="0" fontId="4" fillId="2" borderId="0" xfId="3" applyFont="1" applyFill="1" applyAlignment="1">
      <alignment vertical="center" wrapText="1"/>
    </xf>
    <xf numFmtId="0" fontId="4" fillId="14" borderId="19" xfId="0" applyFont="1" applyFill="1" applyBorder="1" applyAlignment="1">
      <alignment vertical="top" wrapText="1"/>
    </xf>
    <xf numFmtId="10" fontId="4" fillId="14" borderId="19" xfId="2" applyNumberFormat="1" applyFont="1" applyFill="1" applyBorder="1" applyAlignment="1">
      <alignment vertical="top" wrapText="1"/>
    </xf>
    <xf numFmtId="10" fontId="0" fillId="0" borderId="0" xfId="2" applyNumberFormat="1" applyFont="1"/>
    <xf numFmtId="2" fontId="4" fillId="2" borderId="0" xfId="3" applyNumberFormat="1" applyFont="1" applyFill="1" applyAlignment="1">
      <alignment vertical="center" wrapText="1"/>
    </xf>
    <xf numFmtId="2" fontId="5" fillId="2" borderId="0" xfId="3" applyNumberFormat="1" applyFont="1" applyFill="1" applyAlignment="1">
      <alignment vertical="center" wrapText="1"/>
    </xf>
    <xf numFmtId="2" fontId="4" fillId="14" borderId="19" xfId="0" applyNumberFormat="1" applyFont="1" applyFill="1" applyBorder="1" applyAlignment="1">
      <alignment vertical="top" wrapText="1"/>
    </xf>
    <xf numFmtId="2" fontId="6" fillId="17" borderId="14" xfId="0" applyNumberFormat="1" applyFont="1" applyFill="1" applyBorder="1" applyAlignment="1">
      <alignment horizontal="right" vertical="center" wrapText="1"/>
    </xf>
    <xf numFmtId="2" fontId="7" fillId="18" borderId="14" xfId="1" applyNumberFormat="1" applyFont="1" applyFill="1" applyBorder="1" applyAlignment="1">
      <alignment horizontal="center" vertical="center" wrapText="1"/>
    </xf>
    <xf numFmtId="2" fontId="6" fillId="17" borderId="14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0" fontId="5" fillId="14" borderId="0" xfId="2" applyNumberFormat="1" applyFont="1" applyFill="1" applyAlignment="1">
      <alignment vertical="top" wrapText="1"/>
    </xf>
    <xf numFmtId="10" fontId="6" fillId="17" borderId="14" xfId="2" applyNumberFormat="1" applyFont="1" applyFill="1" applyBorder="1" applyAlignment="1">
      <alignment horizontal="right" vertical="center" wrapText="1"/>
    </xf>
    <xf numFmtId="10" fontId="6" fillId="17" borderId="14" xfId="2" applyNumberFormat="1" applyFont="1" applyFill="1" applyBorder="1" applyAlignment="1">
      <alignment horizontal="center" vertical="center" wrapText="1"/>
    </xf>
    <xf numFmtId="10" fontId="7" fillId="5" borderId="14" xfId="2" applyNumberFormat="1" applyFont="1" applyFill="1" applyBorder="1" applyAlignment="1">
      <alignment horizontal="center" vertical="center" wrapText="1"/>
    </xf>
    <xf numFmtId="10" fontId="26" fillId="0" borderId="0" xfId="2" applyNumberFormat="1" applyFont="1"/>
    <xf numFmtId="4" fontId="6" fillId="23" borderId="14" xfId="0" applyNumberFormat="1" applyFont="1" applyFill="1" applyBorder="1" applyAlignment="1">
      <alignment horizontal="right" vertical="top" wrapText="1"/>
    </xf>
    <xf numFmtId="44" fontId="26" fillId="23" borderId="14" xfId="1" applyFont="1" applyFill="1" applyBorder="1"/>
    <xf numFmtId="44" fontId="6" fillId="22" borderId="14" xfId="1" applyFont="1" applyFill="1" applyBorder="1" applyAlignment="1">
      <alignment horizontal="right" vertical="top" wrapText="1"/>
    </xf>
    <xf numFmtId="44" fontId="6" fillId="24" borderId="14" xfId="1" applyFont="1" applyFill="1" applyBorder="1" applyAlignment="1">
      <alignment horizontal="right" vertical="top" wrapText="1"/>
    </xf>
    <xf numFmtId="44" fontId="6" fillId="25" borderId="14" xfId="1" applyFont="1" applyFill="1" applyBorder="1" applyAlignment="1">
      <alignment horizontal="right" vertical="top" wrapText="1"/>
    </xf>
    <xf numFmtId="44" fontId="6" fillId="29" borderId="14" xfId="1" applyFont="1" applyFill="1" applyBorder="1" applyAlignment="1">
      <alignment horizontal="right" vertical="top" wrapText="1"/>
    </xf>
    <xf numFmtId="44" fontId="6" fillId="28" borderId="14" xfId="1" applyFont="1" applyFill="1" applyBorder="1" applyAlignment="1">
      <alignment horizontal="right" vertical="top" wrapText="1"/>
    </xf>
    <xf numFmtId="0" fontId="26" fillId="27" borderId="11" xfId="0" applyFont="1" applyFill="1" applyBorder="1" applyAlignment="1">
      <alignment vertical="center"/>
    </xf>
    <xf numFmtId="44" fontId="26" fillId="27" borderId="11" xfId="1" applyFont="1" applyFill="1" applyBorder="1" applyAlignment="1">
      <alignment vertical="center"/>
    </xf>
    <xf numFmtId="10" fontId="26" fillId="27" borderId="11" xfId="2" applyNumberFormat="1" applyFont="1" applyFill="1" applyBorder="1" applyAlignment="1">
      <alignment vertical="center"/>
    </xf>
    <xf numFmtId="0" fontId="7" fillId="18" borderId="14" xfId="1" applyNumberFormat="1" applyFont="1" applyFill="1" applyBorder="1" applyAlignment="1">
      <alignment horizontal="center" vertical="center" wrapText="1"/>
    </xf>
    <xf numFmtId="0" fontId="6" fillId="17" borderId="14" xfId="0" applyFont="1" applyFill="1" applyBorder="1" applyAlignment="1">
      <alignment horizontal="center" vertical="center" wrapText="1"/>
    </xf>
    <xf numFmtId="0" fontId="0" fillId="0" borderId="0" xfId="1" applyNumberFormat="1" applyFont="1"/>
    <xf numFmtId="2" fontId="7" fillId="5" borderId="14" xfId="3" applyNumberFormat="1" applyFont="1" applyFill="1" applyBorder="1" applyAlignment="1">
      <alignment horizontal="center" vertical="center" wrapText="1"/>
    </xf>
    <xf numFmtId="2" fontId="0" fillId="0" borderId="0" xfId="1" applyNumberFormat="1" applyFont="1"/>
    <xf numFmtId="2" fontId="26" fillId="27" borderId="11" xfId="2" applyNumberFormat="1" applyFont="1" applyFill="1" applyBorder="1" applyAlignment="1">
      <alignment vertical="center"/>
    </xf>
    <xf numFmtId="2" fontId="5" fillId="14" borderId="0" xfId="0" applyNumberFormat="1" applyFont="1" applyFill="1" applyAlignment="1">
      <alignment vertical="top" wrapText="1"/>
    </xf>
    <xf numFmtId="44" fontId="6" fillId="30" borderId="14" xfId="1" applyFont="1" applyFill="1" applyBorder="1" applyAlignment="1">
      <alignment horizontal="right" vertical="top" wrapText="1"/>
    </xf>
    <xf numFmtId="44" fontId="7" fillId="5" borderId="14" xfId="1" applyFont="1" applyFill="1" applyBorder="1" applyAlignment="1">
      <alignment horizontal="center" vertical="center" wrapText="1"/>
    </xf>
    <xf numFmtId="44" fontId="0" fillId="0" borderId="0" xfId="0" applyNumberFormat="1"/>
    <xf numFmtId="10" fontId="23" fillId="32" borderId="40" xfId="13" applyNumberFormat="1" applyFont="1" applyFill="1" applyBorder="1" applyAlignment="1">
      <alignment horizontal="center" vertical="center" wrapText="1"/>
    </xf>
    <xf numFmtId="4" fontId="23" fillId="32" borderId="41" xfId="13" applyNumberFormat="1" applyFont="1" applyFill="1" applyBorder="1" applyAlignment="1">
      <alignment horizontal="center" vertical="center" wrapText="1"/>
    </xf>
    <xf numFmtId="10" fontId="23" fillId="33" borderId="42" xfId="8" applyNumberFormat="1" applyFont="1" applyFill="1" applyBorder="1" applyAlignment="1">
      <alignment horizontal="center" vertical="center" wrapText="1"/>
    </xf>
    <xf numFmtId="4" fontId="23" fillId="33" borderId="41" xfId="13" applyNumberFormat="1" applyFont="1" applyFill="1" applyBorder="1" applyAlignment="1">
      <alignment horizontal="center" vertical="center" wrapText="1"/>
    </xf>
    <xf numFmtId="0" fontId="27" fillId="0" borderId="36" xfId="13" applyFont="1" applyBorder="1" applyAlignment="1">
      <alignment horizontal="center" vertical="center"/>
    </xf>
    <xf numFmtId="0" fontId="24" fillId="34" borderId="44" xfId="13" applyFont="1" applyFill="1" applyBorder="1" applyAlignment="1">
      <alignment vertical="center" wrapText="1"/>
    </xf>
    <xf numFmtId="10" fontId="24" fillId="34" borderId="45" xfId="13" applyNumberFormat="1" applyFont="1" applyFill="1" applyBorder="1" applyAlignment="1">
      <alignment horizontal="center" vertical="center" wrapText="1"/>
    </xf>
    <xf numFmtId="10" fontId="29" fillId="34" borderId="47" xfId="8" applyNumberFormat="1" applyFont="1" applyFill="1" applyBorder="1" applyAlignment="1">
      <alignment horizontal="center" vertical="center" wrapText="1"/>
    </xf>
    <xf numFmtId="10" fontId="24" fillId="34" borderId="47" xfId="8" applyNumberFormat="1" applyFont="1" applyFill="1" applyBorder="1" applyAlignment="1">
      <alignment horizontal="center" vertical="center" wrapText="1"/>
    </xf>
    <xf numFmtId="166" fontId="24" fillId="34" borderId="46" xfId="14" applyFont="1" applyFill="1" applyBorder="1" applyAlignment="1">
      <alignment horizontal="left" vertical="center" wrapText="1"/>
    </xf>
    <xf numFmtId="0" fontId="27" fillId="0" borderId="48" xfId="13" applyFont="1" applyBorder="1" applyAlignment="1">
      <alignment horizontal="center" vertical="center"/>
    </xf>
    <xf numFmtId="10" fontId="29" fillId="32" borderId="14" xfId="13" applyNumberFormat="1" applyFont="1" applyFill="1" applyBorder="1" applyAlignment="1">
      <alignment horizontal="center" vertical="center"/>
    </xf>
    <xf numFmtId="166" fontId="29" fillId="32" borderId="49" xfId="14" applyFont="1" applyFill="1" applyBorder="1" applyAlignment="1">
      <alignment horizontal="right" vertical="center"/>
    </xf>
    <xf numFmtId="10" fontId="29" fillId="31" borderId="42" xfId="8" applyNumberFormat="1" applyFont="1" applyFill="1" applyBorder="1" applyAlignment="1">
      <alignment horizontal="center" vertical="center"/>
    </xf>
    <xf numFmtId="166" fontId="29" fillId="31" borderId="39" xfId="14" applyFont="1" applyFill="1" applyBorder="1" applyAlignment="1">
      <alignment horizontal="left" vertical="center"/>
    </xf>
    <xf numFmtId="10" fontId="29" fillId="31" borderId="39" xfId="8" applyNumberFormat="1" applyFont="1" applyFill="1" applyBorder="1" applyAlignment="1">
      <alignment horizontal="center" vertical="center"/>
    </xf>
    <xf numFmtId="166" fontId="29" fillId="31" borderId="53" xfId="14" applyFont="1" applyFill="1" applyBorder="1" applyAlignment="1">
      <alignment horizontal="left" vertical="center"/>
    </xf>
    <xf numFmtId="10" fontId="29" fillId="35" borderId="27" xfId="8" applyNumberFormat="1" applyFont="1" applyFill="1" applyBorder="1" applyAlignment="1">
      <alignment horizontal="center" vertical="center"/>
    </xf>
    <xf numFmtId="10" fontId="29" fillId="35" borderId="22" xfId="8" applyNumberFormat="1" applyFont="1" applyFill="1" applyBorder="1" applyAlignment="1">
      <alignment horizontal="center" vertical="center"/>
    </xf>
    <xf numFmtId="10" fontId="23" fillId="22" borderId="42" xfId="8" applyNumberFormat="1" applyFont="1" applyFill="1" applyBorder="1" applyAlignment="1">
      <alignment horizontal="center" vertical="center" wrapText="1"/>
    </xf>
    <xf numFmtId="4" fontId="23" fillId="22" borderId="40" xfId="13" applyNumberFormat="1" applyFont="1" applyFill="1" applyBorder="1" applyAlignment="1">
      <alignment horizontal="center" vertical="center" wrapText="1"/>
    </xf>
    <xf numFmtId="4" fontId="23" fillId="22" borderId="41" xfId="13" applyNumberFormat="1" applyFont="1" applyFill="1" applyBorder="1" applyAlignment="1">
      <alignment horizontal="center" vertical="center" wrapText="1"/>
    </xf>
    <xf numFmtId="10" fontId="23" fillId="24" borderId="42" xfId="8" applyNumberFormat="1" applyFont="1" applyFill="1" applyBorder="1" applyAlignment="1">
      <alignment horizontal="center" vertical="center" wrapText="1"/>
    </xf>
    <xf numFmtId="4" fontId="23" fillId="24" borderId="40" xfId="13" applyNumberFormat="1" applyFont="1" applyFill="1" applyBorder="1" applyAlignment="1">
      <alignment horizontal="center" vertical="center" wrapText="1"/>
    </xf>
    <xf numFmtId="4" fontId="23" fillId="24" borderId="41" xfId="13" applyNumberFormat="1" applyFont="1" applyFill="1" applyBorder="1" applyAlignment="1">
      <alignment horizontal="center" vertical="center" wrapText="1"/>
    </xf>
    <xf numFmtId="10" fontId="23" fillId="25" borderId="43" xfId="8" applyNumberFormat="1" applyFont="1" applyFill="1" applyBorder="1" applyAlignment="1">
      <alignment horizontal="center" vertical="center" wrapText="1"/>
    </xf>
    <xf numFmtId="4" fontId="23" fillId="25" borderId="41" xfId="13" applyNumberFormat="1" applyFont="1" applyFill="1" applyBorder="1" applyAlignment="1">
      <alignment horizontal="center" vertical="center" wrapText="1"/>
    </xf>
    <xf numFmtId="10" fontId="23" fillId="25" borderId="42" xfId="8" applyNumberFormat="1" applyFont="1" applyFill="1" applyBorder="1" applyAlignment="1">
      <alignment horizontal="center" vertical="center" wrapText="1"/>
    </xf>
    <xf numFmtId="10" fontId="23" fillId="26" borderId="42" xfId="8" applyNumberFormat="1" applyFont="1" applyFill="1" applyBorder="1" applyAlignment="1">
      <alignment horizontal="center" vertical="center" wrapText="1"/>
    </xf>
    <xf numFmtId="4" fontId="23" fillId="26" borderId="40" xfId="13" applyNumberFormat="1" applyFont="1" applyFill="1" applyBorder="1" applyAlignment="1">
      <alignment horizontal="center" vertical="center" wrapText="1"/>
    </xf>
    <xf numFmtId="4" fontId="23" fillId="26" borderId="41" xfId="13" applyNumberFormat="1" applyFont="1" applyFill="1" applyBorder="1" applyAlignment="1">
      <alignment horizontal="center" vertical="center" wrapText="1"/>
    </xf>
    <xf numFmtId="10" fontId="23" fillId="27" borderId="42" xfId="8" applyNumberFormat="1" applyFont="1" applyFill="1" applyBorder="1" applyAlignment="1">
      <alignment horizontal="center" vertical="center" wrapText="1"/>
    </xf>
    <xf numFmtId="4" fontId="23" fillId="27" borderId="40" xfId="13" applyNumberFormat="1" applyFont="1" applyFill="1" applyBorder="1" applyAlignment="1">
      <alignment horizontal="center" vertical="center" wrapText="1"/>
    </xf>
    <xf numFmtId="4" fontId="23" fillId="27" borderId="41" xfId="13" applyNumberFormat="1" applyFont="1" applyFill="1" applyBorder="1" applyAlignment="1">
      <alignment horizontal="center" vertical="center" wrapText="1"/>
    </xf>
    <xf numFmtId="10" fontId="23" fillId="28" borderId="43" xfId="8" applyNumberFormat="1" applyFont="1" applyFill="1" applyBorder="1" applyAlignment="1">
      <alignment horizontal="center" vertical="center" wrapText="1"/>
    </xf>
    <xf numFmtId="4" fontId="23" fillId="28" borderId="41" xfId="13" applyNumberFormat="1" applyFont="1" applyFill="1" applyBorder="1" applyAlignment="1">
      <alignment horizontal="center" vertical="center" wrapText="1"/>
    </xf>
    <xf numFmtId="10" fontId="23" fillId="28" borderId="42" xfId="8" applyNumberFormat="1" applyFont="1" applyFill="1" applyBorder="1" applyAlignment="1">
      <alignment horizontal="center" vertical="center" wrapText="1"/>
    </xf>
    <xf numFmtId="44" fontId="24" fillId="34" borderId="44" xfId="1" applyFont="1" applyFill="1" applyBorder="1" applyAlignment="1">
      <alignment vertical="center" wrapText="1"/>
    </xf>
    <xf numFmtId="10" fontId="29" fillId="28" borderId="50" xfId="8" applyNumberFormat="1" applyFont="1" applyFill="1" applyBorder="1" applyAlignment="1">
      <alignment horizontal="center" vertical="center"/>
    </xf>
    <xf numFmtId="166" fontId="29" fillId="28" borderId="14" xfId="14" applyFont="1" applyFill="1" applyBorder="1" applyAlignment="1">
      <alignment horizontal="left" vertical="center"/>
    </xf>
    <xf numFmtId="10" fontId="29" fillId="28" borderId="14" xfId="8" applyNumberFormat="1" applyFont="1" applyFill="1" applyBorder="1" applyAlignment="1">
      <alignment horizontal="center" vertical="center"/>
    </xf>
    <xf numFmtId="166" fontId="29" fillId="28" borderId="49" xfId="14" applyFont="1" applyFill="1" applyBorder="1" applyAlignment="1">
      <alignment horizontal="left" vertical="center"/>
    </xf>
    <xf numFmtId="10" fontId="29" fillId="28" borderId="52" xfId="8" applyNumberFormat="1" applyFont="1" applyFill="1" applyBorder="1" applyAlignment="1">
      <alignment horizontal="center" vertical="center"/>
    </xf>
    <xf numFmtId="166" fontId="29" fillId="28" borderId="19" xfId="14" applyFont="1" applyFill="1" applyBorder="1" applyAlignment="1">
      <alignment horizontal="left" vertical="center"/>
    </xf>
    <xf numFmtId="10" fontId="29" fillId="28" borderId="19" xfId="8" applyNumberFormat="1" applyFont="1" applyFill="1" applyBorder="1" applyAlignment="1">
      <alignment horizontal="center" vertical="center"/>
    </xf>
    <xf numFmtId="166" fontId="29" fillId="28" borderId="51" xfId="14" applyFont="1" applyFill="1" applyBorder="1" applyAlignment="1">
      <alignment horizontal="left" vertical="center"/>
    </xf>
    <xf numFmtId="10" fontId="29" fillId="27" borderId="50" xfId="8" applyNumberFormat="1" applyFont="1" applyFill="1" applyBorder="1" applyAlignment="1">
      <alignment horizontal="center" vertical="center"/>
    </xf>
    <xf numFmtId="166" fontId="29" fillId="27" borderId="14" xfId="14" applyFont="1" applyFill="1" applyBorder="1" applyAlignment="1">
      <alignment horizontal="left" vertical="center"/>
    </xf>
    <xf numFmtId="10" fontId="29" fillId="27" borderId="14" xfId="8" applyNumberFormat="1" applyFont="1" applyFill="1" applyBorder="1" applyAlignment="1">
      <alignment horizontal="center" vertical="center"/>
    </xf>
    <xf numFmtId="166" fontId="29" fillId="27" borderId="49" xfId="14" applyFont="1" applyFill="1" applyBorder="1" applyAlignment="1">
      <alignment horizontal="left" vertical="center"/>
    </xf>
    <xf numFmtId="10" fontId="29" fillId="27" borderId="52" xfId="8" applyNumberFormat="1" applyFont="1" applyFill="1" applyBorder="1" applyAlignment="1">
      <alignment horizontal="center" vertical="center"/>
    </xf>
    <xf numFmtId="166" fontId="29" fillId="27" borderId="19" xfId="14" applyFont="1" applyFill="1" applyBorder="1" applyAlignment="1">
      <alignment horizontal="left" vertical="center"/>
    </xf>
    <xf numFmtId="10" fontId="29" fillId="27" borderId="19" xfId="8" applyNumberFormat="1" applyFont="1" applyFill="1" applyBorder="1" applyAlignment="1">
      <alignment horizontal="center" vertical="center"/>
    </xf>
    <xf numFmtId="166" fontId="29" fillId="27" borderId="51" xfId="14" applyFont="1" applyFill="1" applyBorder="1" applyAlignment="1">
      <alignment horizontal="left" vertical="center"/>
    </xf>
    <xf numFmtId="10" fontId="29" fillId="26" borderId="50" xfId="8" applyNumberFormat="1" applyFont="1" applyFill="1" applyBorder="1" applyAlignment="1">
      <alignment horizontal="center" vertical="center"/>
    </xf>
    <xf numFmtId="166" fontId="29" fillId="26" borderId="14" xfId="14" applyFont="1" applyFill="1" applyBorder="1" applyAlignment="1">
      <alignment horizontal="left" vertical="center"/>
    </xf>
    <xf numFmtId="10" fontId="29" fillId="26" borderId="14" xfId="8" applyNumberFormat="1" applyFont="1" applyFill="1" applyBorder="1" applyAlignment="1">
      <alignment horizontal="center" vertical="center"/>
    </xf>
    <xf numFmtId="166" fontId="29" fillId="26" borderId="49" xfId="14" applyFont="1" applyFill="1" applyBorder="1" applyAlignment="1">
      <alignment horizontal="left" vertical="center"/>
    </xf>
    <xf numFmtId="10" fontId="29" fillId="26" borderId="52" xfId="8" applyNumberFormat="1" applyFont="1" applyFill="1" applyBorder="1" applyAlignment="1">
      <alignment horizontal="center" vertical="center"/>
    </xf>
    <xf numFmtId="166" fontId="29" fillId="26" borderId="19" xfId="14" applyFont="1" applyFill="1" applyBorder="1" applyAlignment="1">
      <alignment horizontal="left" vertical="center"/>
    </xf>
    <xf numFmtId="10" fontId="29" fillId="26" borderId="19" xfId="8" applyNumberFormat="1" applyFont="1" applyFill="1" applyBorder="1" applyAlignment="1">
      <alignment horizontal="center" vertical="center"/>
    </xf>
    <xf numFmtId="166" fontId="29" fillId="26" borderId="51" xfId="14" applyFont="1" applyFill="1" applyBorder="1" applyAlignment="1">
      <alignment horizontal="left" vertical="center"/>
    </xf>
    <xf numFmtId="10" fontId="29" fillId="25" borderId="50" xfId="8" applyNumberFormat="1" applyFont="1" applyFill="1" applyBorder="1" applyAlignment="1">
      <alignment horizontal="center" vertical="center"/>
    </xf>
    <xf numFmtId="166" fontId="29" fillId="25" borderId="14" xfId="14" applyFont="1" applyFill="1" applyBorder="1" applyAlignment="1">
      <alignment horizontal="left" vertical="center"/>
    </xf>
    <xf numFmtId="10" fontId="29" fillId="25" borderId="14" xfId="8" applyNumberFormat="1" applyFont="1" applyFill="1" applyBorder="1" applyAlignment="1">
      <alignment horizontal="center" vertical="center"/>
    </xf>
    <xf numFmtId="166" fontId="29" fillId="25" borderId="49" xfId="14" applyFont="1" applyFill="1" applyBorder="1" applyAlignment="1">
      <alignment horizontal="left" vertical="center"/>
    </xf>
    <xf numFmtId="10" fontId="29" fillId="25" borderId="52" xfId="8" applyNumberFormat="1" applyFont="1" applyFill="1" applyBorder="1" applyAlignment="1">
      <alignment horizontal="center" vertical="center"/>
    </xf>
    <xf numFmtId="166" fontId="29" fillId="25" borderId="19" xfId="14" applyFont="1" applyFill="1" applyBorder="1" applyAlignment="1">
      <alignment horizontal="left" vertical="center"/>
    </xf>
    <xf numFmtId="10" fontId="29" fillId="25" borderId="19" xfId="8" applyNumberFormat="1" applyFont="1" applyFill="1" applyBorder="1" applyAlignment="1">
      <alignment horizontal="center" vertical="center"/>
    </xf>
    <xf numFmtId="166" fontId="29" fillId="25" borderId="51" xfId="14" applyFont="1" applyFill="1" applyBorder="1" applyAlignment="1">
      <alignment horizontal="left" vertical="center"/>
    </xf>
    <xf numFmtId="10" fontId="29" fillId="24" borderId="50" xfId="8" applyNumberFormat="1" applyFont="1" applyFill="1" applyBorder="1" applyAlignment="1">
      <alignment horizontal="center" vertical="center"/>
    </xf>
    <xf numFmtId="166" fontId="29" fillId="24" borderId="14" xfId="14" applyFont="1" applyFill="1" applyBorder="1" applyAlignment="1">
      <alignment horizontal="left" vertical="center"/>
    </xf>
    <xf numFmtId="10" fontId="29" fillId="24" borderId="14" xfId="8" applyNumberFormat="1" applyFont="1" applyFill="1" applyBorder="1" applyAlignment="1">
      <alignment horizontal="center" vertical="center"/>
    </xf>
    <xf numFmtId="166" fontId="29" fillId="24" borderId="49" xfId="14" applyFont="1" applyFill="1" applyBorder="1" applyAlignment="1">
      <alignment horizontal="left" vertical="center"/>
    </xf>
    <xf numFmtId="10" fontId="29" fillId="24" borderId="52" xfId="8" applyNumberFormat="1" applyFont="1" applyFill="1" applyBorder="1" applyAlignment="1">
      <alignment horizontal="center" vertical="center"/>
    </xf>
    <xf numFmtId="166" fontId="29" fillId="24" borderId="19" xfId="14" applyFont="1" applyFill="1" applyBorder="1" applyAlignment="1">
      <alignment horizontal="left" vertical="center"/>
    </xf>
    <xf numFmtId="10" fontId="29" fillId="24" borderId="19" xfId="8" applyNumberFormat="1" applyFont="1" applyFill="1" applyBorder="1" applyAlignment="1">
      <alignment horizontal="center" vertical="center"/>
    </xf>
    <xf numFmtId="166" fontId="29" fillId="24" borderId="51" xfId="14" applyFont="1" applyFill="1" applyBorder="1" applyAlignment="1">
      <alignment horizontal="left" vertical="center"/>
    </xf>
    <xf numFmtId="10" fontId="29" fillId="22" borderId="50" xfId="8" applyNumberFormat="1" applyFont="1" applyFill="1" applyBorder="1" applyAlignment="1">
      <alignment horizontal="center" vertical="center"/>
    </xf>
    <xf numFmtId="166" fontId="29" fillId="22" borderId="14" xfId="14" applyFont="1" applyFill="1" applyBorder="1" applyAlignment="1">
      <alignment horizontal="left" vertical="center"/>
    </xf>
    <xf numFmtId="10" fontId="29" fillId="22" borderId="14" xfId="8" applyNumberFormat="1" applyFont="1" applyFill="1" applyBorder="1" applyAlignment="1">
      <alignment horizontal="center" vertical="center"/>
    </xf>
    <xf numFmtId="166" fontId="29" fillId="22" borderId="49" xfId="14" applyFont="1" applyFill="1" applyBorder="1" applyAlignment="1">
      <alignment horizontal="left" vertical="center"/>
    </xf>
    <xf numFmtId="10" fontId="29" fillId="22" borderId="52" xfId="8" applyNumberFormat="1" applyFont="1" applyFill="1" applyBorder="1" applyAlignment="1">
      <alignment horizontal="center" vertical="center"/>
    </xf>
    <xf numFmtId="166" fontId="29" fillId="22" borderId="19" xfId="14" applyFont="1" applyFill="1" applyBorder="1" applyAlignment="1">
      <alignment horizontal="left" vertical="center"/>
    </xf>
    <xf numFmtId="10" fontId="29" fillId="22" borderId="19" xfId="8" applyNumberFormat="1" applyFont="1" applyFill="1" applyBorder="1" applyAlignment="1">
      <alignment horizontal="center" vertical="center"/>
    </xf>
    <xf numFmtId="166" fontId="29" fillId="22" borderId="51" xfId="14" applyFont="1" applyFill="1" applyBorder="1" applyAlignment="1">
      <alignment horizontal="left" vertical="center"/>
    </xf>
    <xf numFmtId="0" fontId="23" fillId="0" borderId="15" xfId="0" applyFont="1" applyBorder="1" applyAlignment="1">
      <alignment horizontal="right"/>
    </xf>
    <xf numFmtId="0" fontId="23" fillId="0" borderId="16" xfId="0" applyFont="1" applyBorder="1" applyAlignment="1">
      <alignment horizontal="right"/>
    </xf>
    <xf numFmtId="0" fontId="23" fillId="0" borderId="17" xfId="0" applyFont="1" applyBorder="1" applyAlignment="1">
      <alignment horizontal="right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4" fillId="2" borderId="1" xfId="3" applyFont="1" applyFill="1" applyBorder="1" applyAlignment="1">
      <alignment horizontal="right" vertical="top" wrapText="1"/>
    </xf>
    <xf numFmtId="0" fontId="5" fillId="2" borderId="0" xfId="3" applyFont="1" applyFill="1" applyAlignment="1">
      <alignment horizontal="right" vertical="top" wrapText="1"/>
    </xf>
    <xf numFmtId="44" fontId="5" fillId="2" borderId="0" xfId="1" applyFont="1" applyFill="1" applyAlignment="1">
      <alignment horizontal="left" vertical="top" wrapText="1"/>
    </xf>
    <xf numFmtId="44" fontId="5" fillId="2" borderId="0" xfId="1" applyFont="1" applyFill="1" applyAlignment="1">
      <alignment horizontal="right" vertical="top" wrapText="1"/>
    </xf>
    <xf numFmtId="0" fontId="4" fillId="2" borderId="1" xfId="3" applyFont="1" applyFill="1" applyBorder="1" applyAlignment="1">
      <alignment horizontal="left" vertical="top" wrapText="1"/>
    </xf>
    <xf numFmtId="0" fontId="4" fillId="2" borderId="1" xfId="3" applyFont="1" applyFill="1" applyBorder="1" applyAlignment="1">
      <alignment horizontal="center" vertical="top" wrapText="1"/>
    </xf>
    <xf numFmtId="44" fontId="4" fillId="2" borderId="1" xfId="1" applyFont="1" applyFill="1" applyBorder="1" applyAlignment="1">
      <alignment horizontal="right" vertical="top" wrapText="1"/>
    </xf>
    <xf numFmtId="0" fontId="8" fillId="2" borderId="0" xfId="3" applyFont="1" applyFill="1" applyAlignment="1">
      <alignment horizontal="center" vertical="top" wrapText="1"/>
    </xf>
    <xf numFmtId="0" fontId="3" fillId="0" borderId="0" xfId="3"/>
    <xf numFmtId="0" fontId="4" fillId="14" borderId="0" xfId="0" applyFont="1" applyFill="1" applyAlignment="1">
      <alignment horizontal="left" vertical="top" wrapText="1"/>
    </xf>
    <xf numFmtId="0" fontId="4" fillId="2" borderId="0" xfId="3" applyFont="1" applyFill="1" applyAlignment="1">
      <alignment horizontal="center" wrapText="1"/>
    </xf>
    <xf numFmtId="44" fontId="4" fillId="2" borderId="1" xfId="1" applyFont="1" applyFill="1" applyBorder="1" applyAlignment="1">
      <alignment horizontal="center" vertical="top" wrapText="1"/>
    </xf>
    <xf numFmtId="44" fontId="4" fillId="2" borderId="1" xfId="1" applyFont="1" applyFill="1" applyBorder="1" applyAlignment="1">
      <alignment horizontal="left" vertical="top" wrapText="1"/>
    </xf>
    <xf numFmtId="0" fontId="4" fillId="2" borderId="0" xfId="3" applyFont="1" applyFill="1" applyAlignment="1">
      <alignment horizontal="left" vertical="top" wrapText="1"/>
    </xf>
    <xf numFmtId="44" fontId="4" fillId="2" borderId="0" xfId="1" applyFont="1" applyFill="1" applyAlignment="1">
      <alignment horizontal="left" vertical="top" wrapText="1"/>
    </xf>
    <xf numFmtId="0" fontId="5" fillId="2" borderId="0" xfId="3" applyFont="1" applyFill="1" applyAlignment="1">
      <alignment horizontal="left" vertical="top" wrapText="1"/>
    </xf>
    <xf numFmtId="10" fontId="4" fillId="14" borderId="14" xfId="0" applyNumberFormat="1" applyFont="1" applyFill="1" applyBorder="1" applyAlignment="1">
      <alignment horizontal="center" vertical="top" wrapText="1"/>
    </xf>
    <xf numFmtId="0" fontId="4" fillId="14" borderId="14" xfId="0" applyFont="1" applyFill="1" applyBorder="1" applyAlignment="1">
      <alignment horizontal="center" vertical="top" wrapText="1"/>
    </xf>
    <xf numFmtId="0" fontId="4" fillId="14" borderId="14" xfId="0" applyFont="1" applyFill="1" applyBorder="1" applyAlignment="1">
      <alignment horizontal="left" vertical="top" wrapText="1"/>
    </xf>
    <xf numFmtId="0" fontId="5" fillId="14" borderId="0" xfId="0" applyFont="1" applyFill="1" applyAlignment="1">
      <alignment horizontal="left" vertical="top" wrapText="1"/>
    </xf>
    <xf numFmtId="0" fontId="23" fillId="0" borderId="14" xfId="0" applyFont="1" applyBorder="1" applyAlignment="1">
      <alignment horizontal="center" vertical="center"/>
    </xf>
    <xf numFmtId="0" fontId="4" fillId="2" borderId="14" xfId="3" applyFont="1" applyFill="1" applyBorder="1" applyAlignment="1">
      <alignment horizontal="right" vertical="top" wrapText="1"/>
    </xf>
    <xf numFmtId="44" fontId="5" fillId="2" borderId="0" xfId="1" applyFont="1" applyFill="1" applyAlignment="1">
      <alignment horizontal="center" vertical="center" wrapText="1"/>
    </xf>
    <xf numFmtId="0" fontId="4" fillId="2" borderId="14" xfId="3" applyFont="1" applyFill="1" applyBorder="1" applyAlignment="1">
      <alignment horizontal="left" vertical="top" wrapText="1"/>
    </xf>
    <xf numFmtId="0" fontId="4" fillId="2" borderId="14" xfId="3" applyFont="1" applyFill="1" applyBorder="1" applyAlignment="1">
      <alignment horizontal="center" vertical="top" wrapText="1"/>
    </xf>
    <xf numFmtId="0" fontId="26" fillId="30" borderId="11" xfId="0" applyFont="1" applyFill="1" applyBorder="1" applyAlignment="1">
      <alignment horizontal="center"/>
    </xf>
    <xf numFmtId="0" fontId="26" fillId="30" borderId="12" xfId="0" applyFont="1" applyFill="1" applyBorder="1" applyAlignment="1">
      <alignment horizontal="center"/>
    </xf>
    <xf numFmtId="0" fontId="26" fillId="30" borderId="13" xfId="0" applyFont="1" applyFill="1" applyBorder="1" applyAlignment="1">
      <alignment horizontal="center"/>
    </xf>
    <xf numFmtId="0" fontId="26" fillId="0" borderId="11" xfId="0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44" fontId="26" fillId="30" borderId="11" xfId="1" applyFont="1" applyFill="1" applyBorder="1" applyAlignment="1">
      <alignment horizontal="center"/>
    </xf>
    <xf numFmtId="44" fontId="26" fillId="30" borderId="12" xfId="1" applyFont="1" applyFill="1" applyBorder="1" applyAlignment="1">
      <alignment horizontal="center"/>
    </xf>
    <xf numFmtId="44" fontId="26" fillId="30" borderId="13" xfId="1" applyFont="1" applyFill="1" applyBorder="1" applyAlignment="1">
      <alignment horizontal="center"/>
    </xf>
    <xf numFmtId="10" fontId="6" fillId="30" borderId="11" xfId="2" applyNumberFormat="1" applyFont="1" applyFill="1" applyBorder="1" applyAlignment="1">
      <alignment horizontal="center" vertical="top" wrapText="1"/>
    </xf>
    <xf numFmtId="10" fontId="6" fillId="30" borderId="13" xfId="2" applyNumberFormat="1" applyFont="1" applyFill="1" applyBorder="1" applyAlignment="1">
      <alignment horizontal="center" vertical="top" wrapText="1"/>
    </xf>
    <xf numFmtId="0" fontId="26" fillId="24" borderId="11" xfId="0" applyFont="1" applyFill="1" applyBorder="1" applyAlignment="1">
      <alignment horizontal="center"/>
    </xf>
    <xf numFmtId="0" fontId="26" fillId="24" borderId="12" xfId="0" applyFont="1" applyFill="1" applyBorder="1" applyAlignment="1">
      <alignment horizontal="center"/>
    </xf>
    <xf numFmtId="0" fontId="26" fillId="24" borderId="13" xfId="0" applyFont="1" applyFill="1" applyBorder="1" applyAlignment="1">
      <alignment horizontal="center"/>
    </xf>
    <xf numFmtId="44" fontId="26" fillId="24" borderId="11" xfId="1" applyFont="1" applyFill="1" applyBorder="1" applyAlignment="1">
      <alignment horizontal="center"/>
    </xf>
    <xf numFmtId="44" fontId="26" fillId="24" borderId="12" xfId="1" applyFont="1" applyFill="1" applyBorder="1" applyAlignment="1">
      <alignment horizontal="center"/>
    </xf>
    <xf numFmtId="44" fontId="26" fillId="24" borderId="13" xfId="1" applyFont="1" applyFill="1" applyBorder="1" applyAlignment="1">
      <alignment horizontal="center"/>
    </xf>
    <xf numFmtId="10" fontId="6" fillId="24" borderId="11" xfId="2" applyNumberFormat="1" applyFont="1" applyFill="1" applyBorder="1" applyAlignment="1">
      <alignment horizontal="center" vertical="top" wrapText="1"/>
    </xf>
    <xf numFmtId="10" fontId="6" fillId="24" borderId="13" xfId="2" applyNumberFormat="1" applyFont="1" applyFill="1" applyBorder="1" applyAlignment="1">
      <alignment horizontal="center" vertical="top" wrapText="1"/>
    </xf>
    <xf numFmtId="10" fontId="6" fillId="23" borderId="11" xfId="2" applyNumberFormat="1" applyFont="1" applyFill="1" applyBorder="1" applyAlignment="1">
      <alignment horizontal="center" vertical="top" wrapText="1"/>
    </xf>
    <xf numFmtId="10" fontId="6" fillId="23" borderId="13" xfId="2" applyNumberFormat="1" applyFont="1" applyFill="1" applyBorder="1" applyAlignment="1">
      <alignment horizontal="center" vertical="top" wrapText="1"/>
    </xf>
    <xf numFmtId="10" fontId="0" fillId="23" borderId="11" xfId="2" applyNumberFormat="1" applyFont="1" applyFill="1" applyBorder="1" applyAlignment="1">
      <alignment horizontal="center"/>
    </xf>
    <xf numFmtId="10" fontId="0" fillId="23" borderId="13" xfId="2" applyNumberFormat="1" applyFont="1" applyFill="1" applyBorder="1" applyAlignment="1">
      <alignment horizontal="center"/>
    </xf>
    <xf numFmtId="10" fontId="6" fillId="29" borderId="11" xfId="2" applyNumberFormat="1" applyFont="1" applyFill="1" applyBorder="1" applyAlignment="1">
      <alignment horizontal="center" vertical="top" wrapText="1"/>
    </xf>
    <xf numFmtId="10" fontId="6" fillId="29" borderId="13" xfId="2" applyNumberFormat="1" applyFont="1" applyFill="1" applyBorder="1" applyAlignment="1">
      <alignment horizontal="center" vertical="top" wrapText="1"/>
    </xf>
    <xf numFmtId="10" fontId="6" fillId="28" borderId="11" xfId="2" applyNumberFormat="1" applyFont="1" applyFill="1" applyBorder="1" applyAlignment="1">
      <alignment horizontal="center" vertical="top" wrapText="1"/>
    </xf>
    <xf numFmtId="10" fontId="6" fillId="28" borderId="13" xfId="2" applyNumberFormat="1" applyFont="1" applyFill="1" applyBorder="1" applyAlignment="1">
      <alignment horizontal="center" vertical="top" wrapText="1"/>
    </xf>
    <xf numFmtId="44" fontId="26" fillId="29" borderId="11" xfId="1" applyFont="1" applyFill="1" applyBorder="1" applyAlignment="1">
      <alignment horizontal="center"/>
    </xf>
    <xf numFmtId="44" fontId="26" fillId="29" borderId="12" xfId="1" applyFont="1" applyFill="1" applyBorder="1" applyAlignment="1">
      <alignment horizontal="center"/>
    </xf>
    <xf numFmtId="44" fontId="26" fillId="29" borderId="13" xfId="1" applyFont="1" applyFill="1" applyBorder="1" applyAlignment="1">
      <alignment horizontal="center"/>
    </xf>
    <xf numFmtId="0" fontId="26" fillId="27" borderId="11" xfId="0" applyFont="1" applyFill="1" applyBorder="1" applyAlignment="1">
      <alignment horizontal="center" vertical="center"/>
    </xf>
    <xf numFmtId="0" fontId="26" fillId="27" borderId="12" xfId="0" applyFont="1" applyFill="1" applyBorder="1" applyAlignment="1">
      <alignment horizontal="center" vertical="center"/>
    </xf>
    <xf numFmtId="0" fontId="26" fillId="27" borderId="13" xfId="0" applyFont="1" applyFill="1" applyBorder="1" applyAlignment="1">
      <alignment horizontal="center" vertical="center"/>
    </xf>
    <xf numFmtId="44" fontId="26" fillId="28" borderId="11" xfId="1" applyFont="1" applyFill="1" applyBorder="1" applyAlignment="1">
      <alignment horizontal="center"/>
    </xf>
    <xf numFmtId="44" fontId="26" fillId="28" borderId="12" xfId="1" applyFont="1" applyFill="1" applyBorder="1" applyAlignment="1">
      <alignment horizontal="center"/>
    </xf>
    <xf numFmtId="44" fontId="26" fillId="28" borderId="13" xfId="1" applyFont="1" applyFill="1" applyBorder="1" applyAlignment="1">
      <alignment horizontal="center"/>
    </xf>
    <xf numFmtId="0" fontId="26" fillId="26" borderId="11" xfId="0" applyFont="1" applyFill="1" applyBorder="1" applyAlignment="1">
      <alignment horizontal="center"/>
    </xf>
    <xf numFmtId="0" fontId="26" fillId="26" borderId="12" xfId="0" applyFont="1" applyFill="1" applyBorder="1" applyAlignment="1">
      <alignment horizontal="center"/>
    </xf>
    <xf numFmtId="0" fontId="26" fillId="26" borderId="13" xfId="0" applyFont="1" applyFill="1" applyBorder="1" applyAlignment="1">
      <alignment horizontal="center"/>
    </xf>
    <xf numFmtId="0" fontId="26" fillId="27" borderId="11" xfId="0" applyFont="1" applyFill="1" applyBorder="1" applyAlignment="1">
      <alignment horizontal="center"/>
    </xf>
    <xf numFmtId="0" fontId="26" fillId="27" borderId="12" xfId="0" applyFont="1" applyFill="1" applyBorder="1" applyAlignment="1">
      <alignment horizontal="center"/>
    </xf>
    <xf numFmtId="0" fontId="26" fillId="27" borderId="13" xfId="0" applyFont="1" applyFill="1" applyBorder="1" applyAlignment="1">
      <alignment horizontal="center"/>
    </xf>
    <xf numFmtId="0" fontId="26" fillId="28" borderId="11" xfId="0" applyFont="1" applyFill="1" applyBorder="1" applyAlignment="1">
      <alignment horizontal="center"/>
    </xf>
    <xf numFmtId="0" fontId="26" fillId="28" borderId="12" xfId="0" applyFont="1" applyFill="1" applyBorder="1" applyAlignment="1">
      <alignment horizontal="center"/>
    </xf>
    <xf numFmtId="0" fontId="26" fillId="28" borderId="13" xfId="0" applyFont="1" applyFill="1" applyBorder="1" applyAlignment="1">
      <alignment horizontal="center"/>
    </xf>
    <xf numFmtId="0" fontId="26" fillId="25" borderId="11" xfId="0" applyFont="1" applyFill="1" applyBorder="1" applyAlignment="1">
      <alignment horizontal="center"/>
    </xf>
    <xf numFmtId="0" fontId="26" fillId="25" borderId="12" xfId="0" applyFont="1" applyFill="1" applyBorder="1" applyAlignment="1">
      <alignment horizontal="center"/>
    </xf>
    <xf numFmtId="0" fontId="26" fillId="25" borderId="13" xfId="0" applyFont="1" applyFill="1" applyBorder="1" applyAlignment="1">
      <alignment horizontal="center"/>
    </xf>
    <xf numFmtId="44" fontId="26" fillId="25" borderId="11" xfId="1" applyFont="1" applyFill="1" applyBorder="1" applyAlignment="1">
      <alignment horizontal="center"/>
    </xf>
    <xf numFmtId="44" fontId="26" fillId="25" borderId="12" xfId="1" applyFont="1" applyFill="1" applyBorder="1" applyAlignment="1">
      <alignment horizontal="center"/>
    </xf>
    <xf numFmtId="44" fontId="26" fillId="25" borderId="13" xfId="1" applyFont="1" applyFill="1" applyBorder="1" applyAlignment="1">
      <alignment horizontal="center"/>
    </xf>
    <xf numFmtId="10" fontId="6" fillId="25" borderId="11" xfId="2" applyNumberFormat="1" applyFont="1" applyFill="1" applyBorder="1" applyAlignment="1">
      <alignment horizontal="center" vertical="top" wrapText="1"/>
    </xf>
    <xf numFmtId="10" fontId="6" fillId="25" borderId="13" xfId="2" applyNumberFormat="1" applyFont="1" applyFill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44" fontId="23" fillId="0" borderId="15" xfId="1" applyFont="1" applyBorder="1" applyAlignment="1">
      <alignment horizontal="right"/>
    </xf>
    <xf numFmtId="44" fontId="23" fillId="0" borderId="17" xfId="1" applyFont="1" applyBorder="1" applyAlignment="1">
      <alignment horizontal="right"/>
    </xf>
    <xf numFmtId="44" fontId="26" fillId="22" borderId="11" xfId="1" applyFont="1" applyFill="1" applyBorder="1" applyAlignment="1">
      <alignment horizontal="center"/>
    </xf>
    <xf numFmtId="44" fontId="26" fillId="22" borderId="12" xfId="1" applyFont="1" applyFill="1" applyBorder="1" applyAlignment="1">
      <alignment horizontal="center"/>
    </xf>
    <xf numFmtId="44" fontId="26" fillId="22" borderId="13" xfId="1" applyFont="1" applyFill="1" applyBorder="1" applyAlignment="1">
      <alignment horizontal="center"/>
    </xf>
    <xf numFmtId="10" fontId="6" fillId="22" borderId="11" xfId="2" applyNumberFormat="1" applyFont="1" applyFill="1" applyBorder="1" applyAlignment="1">
      <alignment horizontal="center" vertical="top" wrapText="1"/>
    </xf>
    <xf numFmtId="10" fontId="6" fillId="22" borderId="13" xfId="2" applyNumberFormat="1" applyFont="1" applyFill="1" applyBorder="1" applyAlignment="1">
      <alignment horizontal="center" vertical="top" wrapText="1"/>
    </xf>
    <xf numFmtId="0" fontId="26" fillId="22" borderId="11" xfId="0" applyFont="1" applyFill="1" applyBorder="1" applyAlignment="1">
      <alignment horizontal="center"/>
    </xf>
    <xf numFmtId="0" fontId="26" fillId="22" borderId="12" xfId="0" applyFont="1" applyFill="1" applyBorder="1" applyAlignment="1">
      <alignment horizontal="center"/>
    </xf>
    <xf numFmtId="0" fontId="26" fillId="22" borderId="13" xfId="0" applyFont="1" applyFill="1" applyBorder="1" applyAlignment="1">
      <alignment horizontal="center"/>
    </xf>
    <xf numFmtId="0" fontId="4" fillId="14" borderId="20" xfId="0" applyFont="1" applyFill="1" applyBorder="1" applyAlignment="1">
      <alignment horizontal="center" vertical="top" wrapText="1"/>
    </xf>
    <xf numFmtId="0" fontId="4" fillId="14" borderId="20" xfId="0" applyFont="1" applyFill="1" applyBorder="1" applyAlignment="1">
      <alignment horizontal="left" vertical="top" wrapText="1"/>
    </xf>
    <xf numFmtId="0" fontId="4" fillId="21" borderId="14" xfId="3" applyFont="1" applyFill="1" applyBorder="1" applyAlignment="1">
      <alignment horizontal="center" wrapText="1"/>
    </xf>
    <xf numFmtId="0" fontId="4" fillId="2" borderId="0" xfId="3" applyFont="1" applyFill="1" applyAlignment="1">
      <alignment horizontal="center" vertical="center" wrapText="1"/>
    </xf>
    <xf numFmtId="0" fontId="4" fillId="2" borderId="21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right" vertical="center" wrapText="1"/>
    </xf>
    <xf numFmtId="0" fontId="4" fillId="2" borderId="21" xfId="3" applyFont="1" applyFill="1" applyBorder="1" applyAlignment="1">
      <alignment horizontal="right" vertical="center" wrapText="1"/>
    </xf>
    <xf numFmtId="0" fontId="4" fillId="2" borderId="2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0" xfId="3" applyFont="1" applyFill="1" applyAlignment="1">
      <alignment horizontal="center" vertical="top" wrapText="1"/>
    </xf>
    <xf numFmtId="0" fontId="5" fillId="2" borderId="0" xfId="3" applyFont="1" applyFill="1" applyAlignment="1">
      <alignment horizontal="center" vertical="center" wrapText="1"/>
    </xf>
    <xf numFmtId="10" fontId="29" fillId="35" borderId="15" xfId="13" applyNumberFormat="1" applyFont="1" applyFill="1" applyBorder="1" applyAlignment="1">
      <alignment horizontal="center" vertical="center"/>
    </xf>
    <xf numFmtId="10" fontId="29" fillId="35" borderId="16" xfId="13" applyNumberFormat="1" applyFont="1" applyFill="1" applyBorder="1" applyAlignment="1">
      <alignment horizontal="center" vertical="center"/>
    </xf>
    <xf numFmtId="10" fontId="29" fillId="35" borderId="17" xfId="13" applyNumberFormat="1" applyFont="1" applyFill="1" applyBorder="1" applyAlignment="1">
      <alignment horizontal="center" vertical="center"/>
    </xf>
    <xf numFmtId="14" fontId="23" fillId="22" borderId="16" xfId="13" applyNumberFormat="1" applyFont="1" applyFill="1" applyBorder="1" applyAlignment="1">
      <alignment horizontal="left" vertical="center"/>
    </xf>
    <xf numFmtId="14" fontId="23" fillId="22" borderId="17" xfId="13" applyNumberFormat="1" applyFont="1" applyFill="1" applyBorder="1" applyAlignment="1">
      <alignment horizontal="left" vertical="center"/>
    </xf>
    <xf numFmtId="14" fontId="23" fillId="24" borderId="16" xfId="13" applyNumberFormat="1" applyFont="1" applyFill="1" applyBorder="1" applyAlignment="1">
      <alignment horizontal="left" vertical="center"/>
    </xf>
    <xf numFmtId="14" fontId="23" fillId="24" borderId="17" xfId="13" applyNumberFormat="1" applyFont="1" applyFill="1" applyBorder="1" applyAlignment="1">
      <alignment horizontal="left" vertical="center"/>
    </xf>
    <xf numFmtId="14" fontId="23" fillId="25" borderId="16" xfId="13" applyNumberFormat="1" applyFont="1" applyFill="1" applyBorder="1" applyAlignment="1">
      <alignment horizontal="left" vertical="center"/>
    </xf>
    <xf numFmtId="14" fontId="23" fillId="25" borderId="17" xfId="13" applyNumberFormat="1" applyFont="1" applyFill="1" applyBorder="1" applyAlignment="1">
      <alignment horizontal="left" vertical="center"/>
    </xf>
    <xf numFmtId="14" fontId="23" fillId="26" borderId="16" xfId="13" applyNumberFormat="1" applyFont="1" applyFill="1" applyBorder="1" applyAlignment="1">
      <alignment horizontal="left" vertical="center"/>
    </xf>
    <xf numFmtId="14" fontId="23" fillId="26" borderId="17" xfId="13" applyNumberFormat="1" applyFont="1" applyFill="1" applyBorder="1" applyAlignment="1">
      <alignment horizontal="left" vertical="center"/>
    </xf>
    <xf numFmtId="14" fontId="23" fillId="27" borderId="16" xfId="13" applyNumberFormat="1" applyFont="1" applyFill="1" applyBorder="1" applyAlignment="1">
      <alignment horizontal="left" vertical="center"/>
    </xf>
    <xf numFmtId="14" fontId="23" fillId="27" borderId="17" xfId="13" applyNumberFormat="1" applyFont="1" applyFill="1" applyBorder="1" applyAlignment="1">
      <alignment horizontal="left" vertical="center"/>
    </xf>
    <xf numFmtId="14" fontId="23" fillId="28" borderId="16" xfId="13" applyNumberFormat="1" applyFont="1" applyFill="1" applyBorder="1" applyAlignment="1">
      <alignment horizontal="left" vertical="center"/>
    </xf>
    <xf numFmtId="14" fontId="23" fillId="28" borderId="17" xfId="13" applyNumberFormat="1" applyFont="1" applyFill="1" applyBorder="1" applyAlignment="1">
      <alignment horizontal="left" vertical="center"/>
    </xf>
    <xf numFmtId="0" fontId="23" fillId="28" borderId="36" xfId="13" applyFont="1" applyFill="1" applyBorder="1" applyAlignment="1">
      <alignment horizontal="center" vertical="center" wrapText="1"/>
    </xf>
    <xf numFmtId="0" fontId="23" fillId="28" borderId="37" xfId="13" applyFont="1" applyFill="1" applyBorder="1" applyAlignment="1">
      <alignment horizontal="center" vertical="center" wrapText="1"/>
    </xf>
    <xf numFmtId="0" fontId="30" fillId="26" borderId="36" xfId="13" applyFont="1" applyFill="1" applyBorder="1" applyAlignment="1">
      <alignment horizontal="center" vertical="center"/>
    </xf>
    <xf numFmtId="0" fontId="30" fillId="26" borderId="44" xfId="13" applyFont="1" applyFill="1" applyBorder="1" applyAlignment="1">
      <alignment horizontal="center" vertical="center"/>
    </xf>
    <xf numFmtId="0" fontId="30" fillId="26" borderId="55" xfId="13" applyFont="1" applyFill="1" applyBorder="1" applyAlignment="1">
      <alignment horizontal="center" vertical="center"/>
    </xf>
    <xf numFmtId="0" fontId="30" fillId="26" borderId="37" xfId="13" applyFont="1" applyFill="1" applyBorder="1" applyAlignment="1">
      <alignment horizontal="center" vertical="center"/>
    </xf>
    <xf numFmtId="0" fontId="30" fillId="27" borderId="36" xfId="13" applyFont="1" applyFill="1" applyBorder="1" applyAlignment="1">
      <alignment horizontal="center" vertical="center"/>
    </xf>
    <xf numFmtId="0" fontId="30" fillId="27" borderId="44" xfId="13" applyFont="1" applyFill="1" applyBorder="1" applyAlignment="1">
      <alignment horizontal="center" vertical="center"/>
    </xf>
    <xf numFmtId="0" fontId="30" fillId="27" borderId="55" xfId="13" applyFont="1" applyFill="1" applyBorder="1" applyAlignment="1">
      <alignment horizontal="center" vertical="center"/>
    </xf>
    <xf numFmtId="0" fontId="30" fillId="27" borderId="37" xfId="13" applyFont="1" applyFill="1" applyBorder="1" applyAlignment="1">
      <alignment horizontal="center" vertical="center"/>
    </xf>
    <xf numFmtId="0" fontId="30" fillId="28" borderId="36" xfId="13" applyFont="1" applyFill="1" applyBorder="1" applyAlignment="1">
      <alignment horizontal="center" vertical="center"/>
    </xf>
    <xf numFmtId="0" fontId="30" fillId="28" borderId="44" xfId="13" applyFont="1" applyFill="1" applyBorder="1" applyAlignment="1">
      <alignment horizontal="center" vertical="center"/>
    </xf>
    <xf numFmtId="0" fontId="30" fillId="28" borderId="55" xfId="13" applyFont="1" applyFill="1" applyBorder="1" applyAlignment="1">
      <alignment horizontal="center" vertical="center"/>
    </xf>
    <xf numFmtId="0" fontId="30" fillId="28" borderId="37" xfId="1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top" wrapText="1"/>
    </xf>
    <xf numFmtId="0" fontId="23" fillId="26" borderId="15" xfId="13" applyFont="1" applyFill="1" applyBorder="1" applyAlignment="1">
      <alignment horizontal="right" vertical="center" wrapText="1"/>
    </xf>
    <xf numFmtId="0" fontId="23" fillId="26" borderId="16" xfId="13" applyFont="1" applyFill="1" applyBorder="1" applyAlignment="1">
      <alignment horizontal="right" vertical="center" wrapText="1"/>
    </xf>
    <xf numFmtId="0" fontId="31" fillId="27" borderId="15" xfId="0" applyFont="1" applyFill="1" applyBorder="1" applyAlignment="1">
      <alignment horizontal="right" vertical="center"/>
    </xf>
    <xf numFmtId="0" fontId="31" fillId="27" borderId="16" xfId="0" applyFont="1" applyFill="1" applyBorder="1" applyAlignment="1">
      <alignment horizontal="right" vertical="center"/>
    </xf>
    <xf numFmtId="0" fontId="23" fillId="28" borderId="15" xfId="13" applyFont="1" applyFill="1" applyBorder="1" applyAlignment="1">
      <alignment horizontal="right" vertical="center" wrapText="1"/>
    </xf>
    <xf numFmtId="0" fontId="23" fillId="28" borderId="16" xfId="13" applyFont="1" applyFill="1" applyBorder="1" applyAlignment="1">
      <alignment horizontal="right" vertical="center" wrapText="1"/>
    </xf>
    <xf numFmtId="0" fontId="23" fillId="32" borderId="15" xfId="13" applyFont="1" applyFill="1" applyBorder="1" applyAlignment="1">
      <alignment horizontal="center" vertical="center"/>
    </xf>
    <xf numFmtId="0" fontId="23" fillId="32" borderId="16" xfId="13" applyFont="1" applyFill="1" applyBorder="1" applyAlignment="1">
      <alignment horizontal="center" vertical="center"/>
    </xf>
    <xf numFmtId="0" fontId="23" fillId="32" borderId="17" xfId="13" applyFont="1" applyFill="1" applyBorder="1" applyAlignment="1">
      <alignment horizontal="center" vertical="center"/>
    </xf>
    <xf numFmtId="0" fontId="28" fillId="31" borderId="32" xfId="13" applyFont="1" applyFill="1" applyBorder="1" applyAlignment="1">
      <alignment horizontal="center" vertical="center"/>
    </xf>
    <xf numFmtId="0" fontId="28" fillId="31" borderId="58" xfId="13" applyFont="1" applyFill="1" applyBorder="1" applyAlignment="1">
      <alignment horizontal="center" vertical="center"/>
    </xf>
    <xf numFmtId="10" fontId="23" fillId="31" borderId="15" xfId="13" applyNumberFormat="1" applyFont="1" applyFill="1" applyBorder="1" applyAlignment="1">
      <alignment horizontal="center" vertical="center"/>
    </xf>
    <xf numFmtId="10" fontId="23" fillId="31" borderId="16" xfId="13" applyNumberFormat="1" applyFont="1" applyFill="1" applyBorder="1" applyAlignment="1">
      <alignment horizontal="center" vertical="center"/>
    </xf>
    <xf numFmtId="10" fontId="23" fillId="31" borderId="17" xfId="13" applyNumberFormat="1" applyFont="1" applyFill="1" applyBorder="1" applyAlignment="1">
      <alignment horizontal="center" vertical="center"/>
    </xf>
    <xf numFmtId="0" fontId="23" fillId="26" borderId="36" xfId="13" applyFont="1" applyFill="1" applyBorder="1" applyAlignment="1">
      <alignment horizontal="center" vertical="center" wrapText="1"/>
    </xf>
    <xf numFmtId="0" fontId="23" fillId="26" borderId="37" xfId="13" applyFont="1" applyFill="1" applyBorder="1" applyAlignment="1">
      <alignment horizontal="center" vertical="center" wrapText="1"/>
    </xf>
    <xf numFmtId="0" fontId="30" fillId="25" borderId="55" xfId="13" applyFont="1" applyFill="1" applyBorder="1" applyAlignment="1">
      <alignment horizontal="center" vertical="center"/>
    </xf>
    <xf numFmtId="0" fontId="30" fillId="25" borderId="37" xfId="13" applyFont="1" applyFill="1" applyBorder="1" applyAlignment="1">
      <alignment horizontal="center" vertical="center"/>
    </xf>
    <xf numFmtId="10" fontId="29" fillId="32" borderId="23" xfId="8" applyNumberFormat="1" applyFont="1" applyFill="1" applyBorder="1" applyAlignment="1">
      <alignment horizontal="center" vertical="center"/>
    </xf>
    <xf numFmtId="10" fontId="29" fillId="32" borderId="38" xfId="8" applyNumberFormat="1" applyFont="1" applyFill="1" applyBorder="1" applyAlignment="1">
      <alignment horizontal="center" vertical="center"/>
    </xf>
    <xf numFmtId="166" fontId="29" fillId="32" borderId="56" xfId="14" applyFont="1" applyFill="1" applyBorder="1" applyAlignment="1">
      <alignment horizontal="center" vertical="center"/>
    </xf>
    <xf numFmtId="166" fontId="29" fillId="32" borderId="53" xfId="14" applyFont="1" applyFill="1" applyBorder="1" applyAlignment="1">
      <alignment horizontal="center" vertical="center"/>
    </xf>
    <xf numFmtId="0" fontId="29" fillId="32" borderId="48" xfId="13" applyFont="1" applyFill="1" applyBorder="1" applyAlignment="1">
      <alignment horizontal="right" vertical="center"/>
    </xf>
    <xf numFmtId="0" fontId="29" fillId="32" borderId="13" xfId="13" applyFont="1" applyFill="1" applyBorder="1" applyAlignment="1">
      <alignment horizontal="right" vertical="center"/>
    </xf>
    <xf numFmtId="0" fontId="29" fillId="32" borderId="57" xfId="13" applyFont="1" applyFill="1" applyBorder="1" applyAlignment="1">
      <alignment horizontal="right" vertical="center"/>
    </xf>
    <xf numFmtId="0" fontId="29" fillId="32" borderId="43" xfId="13" applyFont="1" applyFill="1" applyBorder="1" applyAlignment="1">
      <alignment horizontal="right" vertical="center"/>
    </xf>
    <xf numFmtId="0" fontId="29" fillId="35" borderId="15" xfId="13" applyFont="1" applyFill="1" applyBorder="1" applyAlignment="1">
      <alignment horizontal="center" vertical="center"/>
    </xf>
    <xf numFmtId="0" fontId="29" fillId="35" borderId="16" xfId="13" applyFont="1" applyFill="1" applyBorder="1" applyAlignment="1">
      <alignment horizontal="center" vertical="center"/>
    </xf>
    <xf numFmtId="0" fontId="29" fillId="35" borderId="17" xfId="13" applyFont="1" applyFill="1" applyBorder="1" applyAlignment="1">
      <alignment horizontal="center" vertical="center"/>
    </xf>
    <xf numFmtId="0" fontId="24" fillId="34" borderId="36" xfId="13" applyFont="1" applyFill="1" applyBorder="1" applyAlignment="1">
      <alignment horizontal="center" vertical="center"/>
    </xf>
    <xf numFmtId="0" fontId="24" fillId="34" borderId="54" xfId="13" applyFont="1" applyFill="1" applyBorder="1" applyAlignment="1">
      <alignment horizontal="center" vertical="center"/>
    </xf>
    <xf numFmtId="0" fontId="24" fillId="34" borderId="37" xfId="13" applyFont="1" applyFill="1" applyBorder="1" applyAlignment="1">
      <alignment horizontal="center" vertical="center"/>
    </xf>
    <xf numFmtId="0" fontId="30" fillId="22" borderId="36" xfId="13" applyFont="1" applyFill="1" applyBorder="1" applyAlignment="1">
      <alignment horizontal="center" vertical="center"/>
    </xf>
    <xf numFmtId="0" fontId="30" fillId="22" borderId="44" xfId="13" applyFont="1" applyFill="1" applyBorder="1" applyAlignment="1">
      <alignment horizontal="center" vertical="center"/>
    </xf>
    <xf numFmtId="0" fontId="30" fillId="22" borderId="55" xfId="13" applyFont="1" applyFill="1" applyBorder="1" applyAlignment="1">
      <alignment horizontal="center" vertical="center"/>
    </xf>
    <xf numFmtId="0" fontId="30" fillId="22" borderId="37" xfId="13" applyFont="1" applyFill="1" applyBorder="1" applyAlignment="1">
      <alignment horizontal="center" vertical="center"/>
    </xf>
    <xf numFmtId="0" fontId="30" fillId="24" borderId="36" xfId="13" applyFont="1" applyFill="1" applyBorder="1" applyAlignment="1">
      <alignment horizontal="center" vertical="center"/>
    </xf>
    <xf numFmtId="0" fontId="30" fillId="24" borderId="44" xfId="13" applyFont="1" applyFill="1" applyBorder="1" applyAlignment="1">
      <alignment horizontal="center" vertical="center"/>
    </xf>
    <xf numFmtId="0" fontId="30" fillId="24" borderId="55" xfId="13" applyFont="1" applyFill="1" applyBorder="1" applyAlignment="1">
      <alignment horizontal="center" vertical="center"/>
    </xf>
    <xf numFmtId="0" fontId="30" fillId="24" borderId="37" xfId="13" applyFont="1" applyFill="1" applyBorder="1" applyAlignment="1">
      <alignment horizontal="center" vertical="center"/>
    </xf>
    <xf numFmtId="0" fontId="30" fillId="25" borderId="36" xfId="13" applyFont="1" applyFill="1" applyBorder="1" applyAlignment="1">
      <alignment horizontal="center" vertical="center"/>
    </xf>
    <xf numFmtId="0" fontId="30" fillId="25" borderId="44" xfId="13" applyFont="1" applyFill="1" applyBorder="1" applyAlignment="1">
      <alignment horizontal="center" vertical="center"/>
    </xf>
    <xf numFmtId="0" fontId="23" fillId="22" borderId="36" xfId="13" applyFont="1" applyFill="1" applyBorder="1" applyAlignment="1">
      <alignment horizontal="center" vertical="center" wrapText="1"/>
    </xf>
    <xf numFmtId="0" fontId="23" fillId="22" borderId="37" xfId="13" applyFont="1" applyFill="1" applyBorder="1" applyAlignment="1">
      <alignment horizontal="center" vertical="center" wrapText="1"/>
    </xf>
    <xf numFmtId="0" fontId="23" fillId="24" borderId="36" xfId="13" applyFont="1" applyFill="1" applyBorder="1" applyAlignment="1">
      <alignment horizontal="center" vertical="center" wrapText="1"/>
    </xf>
    <xf numFmtId="0" fontId="23" fillId="24" borderId="37" xfId="13" applyFont="1" applyFill="1" applyBorder="1" applyAlignment="1">
      <alignment horizontal="center" vertical="center" wrapText="1"/>
    </xf>
    <xf numFmtId="0" fontId="23" fillId="25" borderId="36" xfId="13" applyFont="1" applyFill="1" applyBorder="1" applyAlignment="1">
      <alignment horizontal="center" vertical="center" wrapText="1"/>
    </xf>
    <xf numFmtId="0" fontId="23" fillId="25" borderId="37" xfId="13" applyFont="1" applyFill="1" applyBorder="1" applyAlignment="1">
      <alignment horizontal="center" vertical="center" wrapText="1"/>
    </xf>
    <xf numFmtId="0" fontId="23" fillId="33" borderId="36" xfId="13" applyFont="1" applyFill="1" applyBorder="1" applyAlignment="1">
      <alignment horizontal="center" vertical="center" wrapText="1"/>
    </xf>
    <xf numFmtId="0" fontId="23" fillId="33" borderId="37" xfId="13" applyFont="1" applyFill="1" applyBorder="1" applyAlignment="1">
      <alignment horizontal="center" vertical="center" wrapText="1"/>
    </xf>
    <xf numFmtId="0" fontId="23" fillId="27" borderId="36" xfId="13" applyFont="1" applyFill="1" applyBorder="1" applyAlignment="1">
      <alignment horizontal="center" vertical="center" wrapText="1"/>
    </xf>
    <xf numFmtId="0" fontId="23" fillId="27" borderId="37" xfId="13" applyFont="1" applyFill="1" applyBorder="1" applyAlignment="1">
      <alignment horizontal="center" vertical="center" wrapText="1"/>
    </xf>
    <xf numFmtId="0" fontId="23" fillId="32" borderId="23" xfId="13" applyFont="1" applyFill="1" applyBorder="1" applyAlignment="1">
      <alignment horizontal="center" vertical="center"/>
    </xf>
    <xf numFmtId="0" fontId="23" fillId="32" borderId="28" xfId="13" applyFont="1" applyFill="1" applyBorder="1" applyAlignment="1">
      <alignment horizontal="center" vertical="center"/>
    </xf>
    <xf numFmtId="0" fontId="23" fillId="32" borderId="38" xfId="13" applyFont="1" applyFill="1" applyBorder="1" applyAlignment="1">
      <alignment horizontal="center" vertical="center"/>
    </xf>
    <xf numFmtId="0" fontId="23" fillId="32" borderId="24" xfId="13" applyFont="1" applyFill="1" applyBorder="1" applyAlignment="1">
      <alignment horizontal="center" vertical="center" wrapText="1"/>
    </xf>
    <xf numFmtId="0" fontId="23" fillId="32" borderId="29" xfId="13" applyFont="1" applyFill="1" applyBorder="1" applyAlignment="1">
      <alignment horizontal="center" vertical="center" wrapText="1"/>
    </xf>
    <xf numFmtId="0" fontId="23" fillId="32" borderId="39" xfId="13" applyFont="1" applyFill="1" applyBorder="1" applyAlignment="1">
      <alignment horizontal="center" vertical="center" wrapText="1"/>
    </xf>
    <xf numFmtId="0" fontId="23" fillId="32" borderId="25" xfId="13" applyFont="1" applyFill="1" applyBorder="1" applyAlignment="1">
      <alignment horizontal="center" vertical="center" wrapText="1"/>
    </xf>
    <xf numFmtId="0" fontId="23" fillId="32" borderId="26" xfId="13" applyFont="1" applyFill="1" applyBorder="1" applyAlignment="1">
      <alignment horizontal="center" vertical="center" wrapText="1"/>
    </xf>
    <xf numFmtId="0" fontId="23" fillId="32" borderId="30" xfId="13" applyFont="1" applyFill="1" applyBorder="1" applyAlignment="1">
      <alignment horizontal="center" vertical="center" wrapText="1"/>
    </xf>
    <xf numFmtId="0" fontId="23" fillId="32" borderId="31" xfId="13" applyFont="1" applyFill="1" applyBorder="1" applyAlignment="1">
      <alignment horizontal="center" vertical="center" wrapText="1"/>
    </xf>
    <xf numFmtId="0" fontId="23" fillId="32" borderId="34" xfId="13" applyFont="1" applyFill="1" applyBorder="1" applyAlignment="1">
      <alignment horizontal="center" vertical="center" wrapText="1"/>
    </xf>
    <xf numFmtId="0" fontId="23" fillId="32" borderId="35" xfId="13" applyFont="1" applyFill="1" applyBorder="1" applyAlignment="1">
      <alignment horizontal="center" vertical="center" wrapText="1"/>
    </xf>
    <xf numFmtId="0" fontId="23" fillId="33" borderId="27" xfId="13" applyFont="1" applyFill="1" applyBorder="1" applyAlignment="1">
      <alignment horizontal="center" vertical="center"/>
    </xf>
    <xf numFmtId="0" fontId="23" fillId="33" borderId="26" xfId="13" applyFont="1" applyFill="1" applyBorder="1" applyAlignment="1">
      <alignment horizontal="center" vertical="center"/>
    </xf>
    <xf numFmtId="0" fontId="23" fillId="33" borderId="32" xfId="13" applyFont="1" applyFill="1" applyBorder="1" applyAlignment="1">
      <alignment horizontal="center" vertical="center"/>
    </xf>
    <xf numFmtId="0" fontId="23" fillId="33" borderId="33" xfId="13" applyFont="1" applyFill="1" applyBorder="1" applyAlignment="1">
      <alignment horizontal="center" vertical="center"/>
    </xf>
    <xf numFmtId="0" fontId="23" fillId="22" borderId="15" xfId="13" applyFont="1" applyFill="1" applyBorder="1" applyAlignment="1">
      <alignment horizontal="right" vertical="center" wrapText="1"/>
    </xf>
    <xf numFmtId="0" fontId="23" fillId="22" borderId="16" xfId="13" applyFont="1" applyFill="1" applyBorder="1" applyAlignment="1">
      <alignment horizontal="right" vertical="center" wrapText="1"/>
    </xf>
    <xf numFmtId="0" fontId="23" fillId="24" borderId="15" xfId="13" applyFont="1" applyFill="1" applyBorder="1" applyAlignment="1">
      <alignment horizontal="right" vertical="center" wrapText="1"/>
    </xf>
    <xf numFmtId="0" fontId="23" fillId="24" borderId="16" xfId="13" applyFont="1" applyFill="1" applyBorder="1" applyAlignment="1">
      <alignment horizontal="right" vertical="center" wrapText="1"/>
    </xf>
    <xf numFmtId="0" fontId="23" fillId="25" borderId="15" xfId="13" applyFont="1" applyFill="1" applyBorder="1" applyAlignment="1">
      <alignment horizontal="right" vertical="center" wrapText="1"/>
    </xf>
    <xf numFmtId="0" fontId="23" fillId="25" borderId="16" xfId="13" applyFont="1" applyFill="1" applyBorder="1" applyAlignment="1">
      <alignment horizontal="right" vertical="center" wrapText="1"/>
    </xf>
    <xf numFmtId="44" fontId="21" fillId="0" borderId="14" xfId="7" applyFont="1" applyBorder="1" applyAlignment="1" applyProtection="1">
      <alignment horizontal="center" vertical="center"/>
    </xf>
    <xf numFmtId="0" fontId="10" fillId="6" borderId="2" xfId="5" applyFont="1" applyFill="1" applyBorder="1" applyAlignment="1">
      <alignment horizontal="center"/>
    </xf>
    <xf numFmtId="0" fontId="10" fillId="6" borderId="5" xfId="5" applyFont="1" applyFill="1" applyBorder="1" applyAlignment="1">
      <alignment horizontal="center"/>
    </xf>
    <xf numFmtId="0" fontId="10" fillId="6" borderId="8" xfId="5" applyFont="1" applyFill="1" applyBorder="1" applyAlignment="1">
      <alignment horizontal="center"/>
    </xf>
    <xf numFmtId="0" fontId="11" fillId="6" borderId="3" xfId="4" applyFont="1" applyFill="1" applyBorder="1" applyAlignment="1">
      <alignment horizontal="center" vertical="center"/>
    </xf>
    <xf numFmtId="0" fontId="11" fillId="6" borderId="4" xfId="4" applyFont="1" applyFill="1" applyBorder="1" applyAlignment="1">
      <alignment horizontal="center" vertical="center"/>
    </xf>
    <xf numFmtId="0" fontId="12" fillId="7" borderId="6" xfId="4" applyFont="1" applyFill="1" applyBorder="1" applyAlignment="1">
      <alignment horizontal="center" vertical="center"/>
    </xf>
    <xf numFmtId="0" fontId="12" fillId="7" borderId="2" xfId="4" applyFont="1" applyFill="1" applyBorder="1" applyAlignment="1">
      <alignment horizontal="center" vertical="center"/>
    </xf>
    <xf numFmtId="0" fontId="12" fillId="7" borderId="7" xfId="4" applyFont="1" applyFill="1" applyBorder="1" applyAlignment="1">
      <alignment horizontal="center" vertical="center"/>
    </xf>
    <xf numFmtId="0" fontId="12" fillId="7" borderId="8" xfId="4" applyFont="1" applyFill="1" applyBorder="1" applyAlignment="1">
      <alignment horizontal="center" vertical="center"/>
    </xf>
    <xf numFmtId="0" fontId="12" fillId="7" borderId="3" xfId="4" applyFont="1" applyFill="1" applyBorder="1" applyAlignment="1">
      <alignment horizontal="center" vertical="center"/>
    </xf>
    <xf numFmtId="0" fontId="12" fillId="7" borderId="4" xfId="4" applyFont="1" applyFill="1" applyBorder="1" applyAlignment="1">
      <alignment horizontal="center" vertical="center"/>
    </xf>
    <xf numFmtId="0" fontId="13" fillId="8" borderId="3" xfId="4" applyFont="1" applyFill="1" applyBorder="1" applyAlignment="1">
      <alignment horizontal="center" vertical="center" wrapText="1"/>
    </xf>
    <xf numFmtId="0" fontId="14" fillId="8" borderId="3" xfId="4" applyFont="1" applyFill="1" applyBorder="1" applyAlignment="1">
      <alignment horizontal="center" vertical="center" wrapText="1"/>
    </xf>
    <xf numFmtId="0" fontId="14" fillId="8" borderId="4" xfId="4" applyFont="1" applyFill="1" applyBorder="1" applyAlignment="1">
      <alignment horizontal="center" vertical="center" wrapText="1"/>
    </xf>
    <xf numFmtId="0" fontId="13" fillId="6" borderId="9" xfId="4" applyFont="1" applyFill="1" applyBorder="1" applyAlignment="1">
      <alignment horizontal="center" vertical="center"/>
    </xf>
    <xf numFmtId="0" fontId="13" fillId="6" borderId="10" xfId="4" applyFont="1" applyFill="1" applyBorder="1" applyAlignment="1">
      <alignment horizontal="center" vertical="center"/>
    </xf>
    <xf numFmtId="0" fontId="9" fillId="11" borderId="10" xfId="4" applyFill="1" applyBorder="1" applyAlignment="1">
      <alignment horizontal="center" vertical="center"/>
    </xf>
    <xf numFmtId="0" fontId="18" fillId="8" borderId="10" xfId="4" applyFont="1" applyFill="1" applyBorder="1" applyAlignment="1">
      <alignment horizontal="center" vertical="center"/>
    </xf>
    <xf numFmtId="0" fontId="18" fillId="8" borderId="3" xfId="4" applyFont="1" applyFill="1" applyBorder="1" applyAlignment="1">
      <alignment horizontal="center" vertical="center"/>
    </xf>
    <xf numFmtId="0" fontId="17" fillId="13" borderId="11" xfId="4" applyFont="1" applyFill="1" applyBorder="1" applyAlignment="1" applyProtection="1">
      <alignment horizontal="center" vertical="center" wrapText="1"/>
      <protection locked="0"/>
    </xf>
    <xf numFmtId="0" fontId="17" fillId="13" borderId="12" xfId="4" applyFont="1" applyFill="1" applyBorder="1" applyAlignment="1" applyProtection="1">
      <alignment horizontal="center" vertical="center" wrapText="1"/>
      <protection locked="0"/>
    </xf>
    <xf numFmtId="0" fontId="17" fillId="13" borderId="13" xfId="4" applyFont="1" applyFill="1" applyBorder="1" applyAlignment="1" applyProtection="1">
      <alignment horizontal="center" vertical="center" wrapText="1"/>
      <protection locked="0"/>
    </xf>
    <xf numFmtId="0" fontId="19" fillId="0" borderId="14" xfId="4" applyFont="1" applyBorder="1" applyAlignment="1">
      <alignment horizontal="center" vertical="center"/>
    </xf>
    <xf numFmtId="0" fontId="9" fillId="0" borderId="12" xfId="4" applyBorder="1" applyAlignment="1">
      <alignment horizontal="center" vertical="center"/>
    </xf>
    <xf numFmtId="0" fontId="9" fillId="0" borderId="13" xfId="4" applyBorder="1" applyAlignment="1">
      <alignment horizontal="center" vertical="center"/>
    </xf>
    <xf numFmtId="10" fontId="2" fillId="16" borderId="14" xfId="5" applyNumberFormat="1" applyFont="1" applyFill="1" applyBorder="1" applyAlignment="1">
      <alignment horizontal="center"/>
    </xf>
    <xf numFmtId="0" fontId="1" fillId="0" borderId="14" xfId="5" applyBorder="1" applyAlignment="1">
      <alignment horizontal="center" wrapText="1"/>
    </xf>
    <xf numFmtId="10" fontId="19" fillId="15" borderId="14" xfId="4" applyNumberFormat="1" applyFont="1" applyFill="1" applyBorder="1" applyAlignment="1">
      <alignment horizontal="center" vertical="center"/>
    </xf>
  </cellXfs>
  <cellStyles count="15">
    <cellStyle name="Moeda" xfId="1" builtinId="4"/>
    <cellStyle name="Moeda 2" xfId="7" xr:uid="{82237EC9-F618-4173-AC01-316DAA4AA1DC}"/>
    <cellStyle name="Moeda 3" xfId="14" xr:uid="{66C2B1D3-021B-49DB-9788-0E0D0FC81827}"/>
    <cellStyle name="Normal" xfId="0" builtinId="0"/>
    <cellStyle name="Normal 2" xfId="3" xr:uid="{D32AD48A-9EC9-4B62-913A-293FFC80D6E8}"/>
    <cellStyle name="Normal 2 2" xfId="4" xr:uid="{6F25A366-8072-4226-B4E0-780FDDAF23AB}"/>
    <cellStyle name="Normal 2 3" xfId="10" xr:uid="{273486C1-704E-494C-B881-7577EC189FC6}"/>
    <cellStyle name="Normal 3" xfId="5" xr:uid="{DB57C26F-0D75-481D-906D-2E99E311037D}"/>
    <cellStyle name="Normal 4" xfId="13" xr:uid="{1BC8D015-7CB9-446D-991C-467498A1E20E}"/>
    <cellStyle name="Porcentagem" xfId="2" builtinId="5"/>
    <cellStyle name="Porcentagem 2" xfId="6" xr:uid="{DCC0DE23-C7A3-436D-B706-2EF1C5F8C8E9}"/>
    <cellStyle name="Porcentagem 2 2" xfId="11" xr:uid="{91089597-844B-46F1-9127-792C734C5F79}"/>
    <cellStyle name="Porcentagem 3" xfId="8" xr:uid="{DBF7BC94-5975-4FCE-8C1A-EABFE2848AC5}"/>
    <cellStyle name="Porcentagem 4" xfId="12" xr:uid="{EC511348-E90B-4984-9FB6-338319A883DE}"/>
    <cellStyle name="Porcentagem 5" xfId="9" xr:uid="{69C9D3A9-4863-42FD-933A-8725A653E3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1577977</xdr:colOff>
      <xdr:row>2</xdr:row>
      <xdr:rowOff>31749</xdr:rowOff>
    </xdr:from>
    <xdr:to>
      <xdr:col>3</xdr:col>
      <xdr:colOff>111126</xdr:colOff>
      <xdr:row>3</xdr:row>
      <xdr:rowOff>261937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159F0346-DDC3-45A1-B166-4EB06E6F018B}"/>
            </a:ext>
          </a:extLst>
        </xdr:cNvPr>
        <xdr:cNvSpPr/>
      </xdr:nvSpPr>
      <xdr:spPr>
        <a:xfrm>
          <a:off x="1577977" y="507999"/>
          <a:ext cx="4048124" cy="468313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200" b="1" strike="noStrike" spc="-1">
              <a:solidFill>
                <a:schemeClr val="bg1"/>
              </a:solidFill>
              <a:latin typeface="Arial"/>
            </a:rPr>
            <a:t>BDI </a:t>
          </a:r>
          <a:r>
            <a:rPr lang="pt-BR" sz="1200" b="1" strike="noStrike" spc="-1">
              <a:solidFill>
                <a:schemeClr val="bg1"/>
              </a:solidFill>
              <a:latin typeface="Cambria Math"/>
            </a:rPr>
            <a:t>=((1+(𝐴𝐶+𝑆+𝑅+𝐺))∗(1+𝐷𝐹 )∗(1+𝐿))/((1−𝐼))</a:t>
          </a:r>
          <a:r>
            <a:rPr lang="pt-BR" sz="1200" b="1" strike="noStrike" spc="-1">
              <a:solidFill>
                <a:schemeClr val="bg1"/>
              </a:solidFill>
              <a:latin typeface="Arial"/>
            </a:rPr>
            <a:t> - 1</a:t>
          </a:r>
          <a:endParaRPr lang="pt-BR" sz="1200" b="1" strike="noStrike" spc="-1">
            <a:solidFill>
              <a:schemeClr val="bg1"/>
            </a:solidFill>
            <a:latin typeface="Times New Roman"/>
          </a:endParaRPr>
        </a:p>
      </xdr:txBody>
    </xdr:sp>
    <xdr:clientData/>
  </xdr:twoCellAnchor>
  <xdr:twoCellAnchor editAs="oneCell">
    <xdr:from>
      <xdr:col>13</xdr:col>
      <xdr:colOff>0</xdr:colOff>
      <xdr:row>40</xdr:row>
      <xdr:rowOff>0</xdr:rowOff>
    </xdr:from>
    <xdr:to>
      <xdr:col>13</xdr:col>
      <xdr:colOff>0</xdr:colOff>
      <xdr:row>40</xdr:row>
      <xdr:rowOff>177590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47856450-D3C4-409D-8AB1-874C12E75804}"/>
            </a:ext>
          </a:extLst>
        </xdr:cNvPr>
        <xdr:cNvSpPr/>
      </xdr:nvSpPr>
      <xdr:spPr>
        <a:xfrm>
          <a:off x="13935075" y="12268200"/>
          <a:ext cx="0" cy="177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</xdr:col>
      <xdr:colOff>0</xdr:colOff>
      <xdr:row>40</xdr:row>
      <xdr:rowOff>0</xdr:rowOff>
    </xdr:from>
    <xdr:to>
      <xdr:col>13</xdr:col>
      <xdr:colOff>0</xdr:colOff>
      <xdr:row>40</xdr:row>
      <xdr:rowOff>177590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4131EF47-C51A-4F4C-AE7A-C91A5D6C76D3}"/>
            </a:ext>
          </a:extLst>
        </xdr:cNvPr>
        <xdr:cNvSpPr/>
      </xdr:nvSpPr>
      <xdr:spPr>
        <a:xfrm>
          <a:off x="13935075" y="12268200"/>
          <a:ext cx="0" cy="177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</xdr:col>
      <xdr:colOff>0</xdr:colOff>
      <xdr:row>40</xdr:row>
      <xdr:rowOff>0</xdr:rowOff>
    </xdr:from>
    <xdr:to>
      <xdr:col>13</xdr:col>
      <xdr:colOff>0</xdr:colOff>
      <xdr:row>40</xdr:row>
      <xdr:rowOff>177590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31C9A556-4A47-40A2-B470-BCBD4C06E2D9}"/>
            </a:ext>
          </a:extLst>
        </xdr:cNvPr>
        <xdr:cNvSpPr/>
      </xdr:nvSpPr>
      <xdr:spPr>
        <a:xfrm>
          <a:off x="13935075" y="12268200"/>
          <a:ext cx="0" cy="177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71437</xdr:colOff>
      <xdr:row>1</xdr:row>
      <xdr:rowOff>101600</xdr:rowOff>
    </xdr:from>
    <xdr:to>
      <xdr:col>0</xdr:col>
      <xdr:colOff>1636711</xdr:colOff>
      <xdr:row>3</xdr:row>
      <xdr:rowOff>522870</xdr:rowOff>
    </xdr:to>
    <xdr:pic>
      <xdr:nvPicPr>
        <xdr:cNvPr id="6" name="Imagem 5" descr="Texto&#10;&#10;Descrição gerada automaticamente">
          <a:extLst>
            <a:ext uri="{FF2B5EF4-FFF2-40B4-BE49-F238E27FC236}">
              <a16:creationId xmlns:a16="http://schemas.microsoft.com/office/drawing/2014/main" id="{CF815FAB-76F3-4881-9FC0-60D73511F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" y="301625"/>
          <a:ext cx="1565274" cy="935620"/>
        </a:xfrm>
        <a:prstGeom prst="rect">
          <a:avLst/>
        </a:prstGeom>
        <a:solidFill>
          <a:srgbClr val="002A3A"/>
        </a:solidFill>
      </xdr:spPr>
    </xdr:pic>
    <xdr:clientData/>
  </xdr:twoCellAnchor>
  <xdr:twoCellAnchor>
    <xdr:from>
      <xdr:col>0</xdr:col>
      <xdr:colOff>1597025</xdr:colOff>
      <xdr:row>3</xdr:row>
      <xdr:rowOff>120650</xdr:rowOff>
    </xdr:from>
    <xdr:to>
      <xdr:col>3</xdr:col>
      <xdr:colOff>15874</xdr:colOff>
      <xdr:row>3</xdr:row>
      <xdr:rowOff>588963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id="{E7337003-8AEC-4749-834C-154AF60CB857}"/>
            </a:ext>
          </a:extLst>
        </xdr:cNvPr>
        <xdr:cNvSpPr/>
      </xdr:nvSpPr>
      <xdr:spPr>
        <a:xfrm>
          <a:off x="1597025" y="835025"/>
          <a:ext cx="3933824" cy="468313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900" b="0" i="1" strike="noStrike" spc="-1">
              <a:solidFill>
                <a:schemeClr val="bg1"/>
              </a:solidFill>
              <a:latin typeface="Arial"/>
            </a:rPr>
            <a:t>Fórmula utilizada para o cálculo do BDI, em conformidade com o Acórdão Nº 2.622/2013 - TCU e Acórdão Nº 2.369/2011 - Plenário</a:t>
          </a:r>
          <a:endParaRPr lang="pt-BR" sz="900" b="0" i="1" strike="noStrike" spc="-1">
            <a:solidFill>
              <a:schemeClr val="bg1"/>
            </a:solidFill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CE881-3727-4B40-B943-6EA3B9DCA0E8}">
  <sheetPr>
    <pageSetUpPr fitToPage="1"/>
  </sheetPr>
  <dimension ref="A1:AB133"/>
  <sheetViews>
    <sheetView showWhiteSpace="0" topLeftCell="J117" workbookViewId="0">
      <selection activeCell="O103" sqref="O103"/>
    </sheetView>
  </sheetViews>
  <sheetFormatPr defaultRowHeight="15" x14ac:dyDescent="0.25"/>
  <cols>
    <col min="1" max="3" width="11.42578125" style="2" bestFit="1" customWidth="1"/>
    <col min="4" max="4" width="68.5703125" style="2" bestFit="1" customWidth="1"/>
    <col min="5" max="5" width="5.7109375" style="2" bestFit="1" customWidth="1"/>
    <col min="6" max="6" width="11.42578125" style="2" bestFit="1" customWidth="1"/>
    <col min="7" max="7" width="12.140625" style="59" bestFit="1" customWidth="1"/>
    <col min="8" max="8" width="11.5703125" style="59" bestFit="1" customWidth="1"/>
    <col min="9" max="9" width="12.140625" style="59" bestFit="1" customWidth="1"/>
    <col min="10" max="10" width="12.28515625" style="59" bestFit="1" customWidth="1"/>
    <col min="11" max="12" width="14.28515625" style="59" bestFit="1" customWidth="1"/>
    <col min="13" max="13" width="15.85546875" style="59" bestFit="1" customWidth="1"/>
    <col min="14" max="14" width="11.42578125" style="2" bestFit="1" customWidth="1"/>
    <col min="15" max="15" width="17.5703125" customWidth="1"/>
    <col min="17" max="19" width="12.140625" bestFit="1" customWidth="1"/>
    <col min="20" max="21" width="14.140625" bestFit="1" customWidth="1"/>
    <col min="22" max="22" width="19.28515625" style="61" bestFit="1" customWidth="1"/>
    <col min="23" max="25" width="12.140625" bestFit="1" customWidth="1"/>
    <col min="26" max="27" width="14.140625" bestFit="1" customWidth="1"/>
    <col min="28" max="28" width="22.85546875" bestFit="1" customWidth="1"/>
    <col min="29" max="16384" width="9.140625" style="2"/>
  </cols>
  <sheetData>
    <row r="1" spans="1:28" x14ac:dyDescent="0.2">
      <c r="A1" s="1"/>
      <c r="B1" s="1"/>
      <c r="C1" s="1"/>
      <c r="D1" s="1" t="s">
        <v>0</v>
      </c>
      <c r="E1" s="247" t="s">
        <v>1</v>
      </c>
      <c r="F1" s="247"/>
      <c r="G1" s="247"/>
      <c r="H1" s="248" t="s">
        <v>2</v>
      </c>
      <c r="I1" s="248"/>
      <c r="J1" s="248"/>
      <c r="K1" s="247" t="s">
        <v>3</v>
      </c>
      <c r="L1" s="247"/>
      <c r="M1" s="247"/>
      <c r="N1" s="247"/>
      <c r="O1" s="243" t="s">
        <v>397</v>
      </c>
      <c r="P1" s="243"/>
      <c r="Q1" s="243"/>
      <c r="R1" s="60">
        <f>0%</f>
        <v>0</v>
      </c>
      <c r="S1" s="60"/>
      <c r="T1" s="60"/>
      <c r="U1" s="60"/>
      <c r="V1" s="243"/>
      <c r="W1" s="243"/>
      <c r="X1" s="243"/>
      <c r="Y1" s="243"/>
      <c r="Z1" s="243"/>
      <c r="AA1" s="243"/>
      <c r="AB1" s="243"/>
    </row>
    <row r="2" spans="1:28" ht="80.099999999999994" customHeight="1" x14ac:dyDescent="0.2">
      <c r="A2" s="3"/>
      <c r="B2" s="3"/>
      <c r="C2" s="3"/>
      <c r="D2" s="3" t="s">
        <v>4</v>
      </c>
      <c r="E2" s="249" t="s">
        <v>5</v>
      </c>
      <c r="F2" s="249"/>
      <c r="G2" s="249"/>
      <c r="H2" s="236" t="s">
        <v>395</v>
      </c>
      <c r="I2" s="236"/>
      <c r="J2" s="236"/>
      <c r="K2" s="249" t="s">
        <v>362</v>
      </c>
      <c r="L2" s="249"/>
      <c r="M2" s="249"/>
      <c r="N2" s="249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</row>
    <row r="3" spans="1:28" x14ac:dyDescent="0.25">
      <c r="A3" s="244" t="s">
        <v>6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1:28" ht="15" customHeight="1" x14ac:dyDescent="0.2">
      <c r="A4" s="238" t="s">
        <v>7</v>
      </c>
      <c r="B4" s="234" t="s">
        <v>8</v>
      </c>
      <c r="C4" s="238" t="s">
        <v>9</v>
      </c>
      <c r="D4" s="238" t="s">
        <v>10</v>
      </c>
      <c r="E4" s="239" t="s">
        <v>11</v>
      </c>
      <c r="F4" s="234" t="s">
        <v>12</v>
      </c>
      <c r="G4" s="240" t="s">
        <v>13</v>
      </c>
      <c r="H4" s="245" t="s">
        <v>14</v>
      </c>
      <c r="I4" s="246"/>
      <c r="J4" s="246"/>
      <c r="K4" s="245" t="s">
        <v>15</v>
      </c>
      <c r="L4" s="246"/>
      <c r="M4" s="246"/>
      <c r="N4" s="234" t="s">
        <v>16</v>
      </c>
      <c r="O4" s="232" t="s">
        <v>398</v>
      </c>
      <c r="P4" s="250" t="s">
        <v>399</v>
      </c>
      <c r="Q4" s="251" t="s">
        <v>14</v>
      </c>
      <c r="R4" s="252"/>
      <c r="S4" s="252"/>
      <c r="T4" s="251" t="s">
        <v>400</v>
      </c>
      <c r="U4" s="252"/>
      <c r="V4" s="252"/>
      <c r="W4" s="251" t="s">
        <v>401</v>
      </c>
      <c r="X4" s="252"/>
      <c r="Y4" s="252"/>
      <c r="Z4" s="251" t="s">
        <v>402</v>
      </c>
      <c r="AA4" s="252"/>
      <c r="AB4" s="252"/>
    </row>
    <row r="5" spans="1:28" ht="15" customHeight="1" x14ac:dyDescent="0.2">
      <c r="A5" s="234"/>
      <c r="B5" s="234"/>
      <c r="C5" s="234"/>
      <c r="D5" s="234"/>
      <c r="E5" s="234"/>
      <c r="F5" s="234"/>
      <c r="G5" s="240"/>
      <c r="H5" s="51" t="s">
        <v>17</v>
      </c>
      <c r="I5" s="51" t="s">
        <v>18</v>
      </c>
      <c r="J5" s="51" t="s">
        <v>15</v>
      </c>
      <c r="K5" s="51" t="s">
        <v>17</v>
      </c>
      <c r="L5" s="51" t="s">
        <v>18</v>
      </c>
      <c r="M5" s="51" t="s">
        <v>15</v>
      </c>
      <c r="N5" s="234"/>
      <c r="O5" s="233"/>
      <c r="P5" s="250"/>
      <c r="Q5" s="62" t="s">
        <v>17</v>
      </c>
      <c r="R5" s="62" t="s">
        <v>18</v>
      </c>
      <c r="S5" s="62" t="s">
        <v>15</v>
      </c>
      <c r="T5" s="62" t="s">
        <v>17</v>
      </c>
      <c r="U5" s="62" t="s">
        <v>18</v>
      </c>
      <c r="V5" s="63" t="s">
        <v>15</v>
      </c>
      <c r="W5" s="62" t="s">
        <v>17</v>
      </c>
      <c r="X5" s="62" t="s">
        <v>18</v>
      </c>
      <c r="Y5" s="62" t="s">
        <v>15</v>
      </c>
      <c r="Z5" s="62" t="s">
        <v>17</v>
      </c>
      <c r="AA5" s="62" t="s">
        <v>18</v>
      </c>
      <c r="AB5" s="62" t="s">
        <v>15</v>
      </c>
    </row>
    <row r="6" spans="1:28" ht="24" customHeight="1" x14ac:dyDescent="0.2">
      <c r="A6" s="4" t="s">
        <v>19</v>
      </c>
      <c r="B6" s="4"/>
      <c r="C6" s="4"/>
      <c r="D6" s="4" t="s">
        <v>20</v>
      </c>
      <c r="E6" s="4"/>
      <c r="F6" s="5"/>
      <c r="G6" s="52"/>
      <c r="H6" s="52"/>
      <c r="I6" s="52"/>
      <c r="J6" s="52"/>
      <c r="K6" s="52"/>
      <c r="L6" s="52"/>
      <c r="M6" s="53">
        <v>51319.75</v>
      </c>
      <c r="N6" s="6">
        <f t="shared" ref="N6:N69" si="0">M6 / 2602241.52</f>
        <v>1.9721363142341991E-2</v>
      </c>
      <c r="O6" s="64"/>
      <c r="P6" s="64"/>
      <c r="Q6" s="64"/>
      <c r="R6" s="64"/>
      <c r="S6" s="64"/>
      <c r="T6" s="64"/>
      <c r="U6" s="64"/>
      <c r="V6" s="65">
        <f>SUM(V7:V9)</f>
        <v>64214.329999999994</v>
      </c>
      <c r="W6" s="64"/>
      <c r="X6" s="64"/>
      <c r="Y6" s="64"/>
      <c r="Z6" s="64"/>
      <c r="AA6" s="64"/>
      <c r="AB6" s="65">
        <f>SUM(AB7:AB9)</f>
        <v>64214.329999999994</v>
      </c>
    </row>
    <row r="7" spans="1:28" ht="26.1" customHeight="1" x14ac:dyDescent="0.2">
      <c r="A7" s="7" t="s">
        <v>21</v>
      </c>
      <c r="B7" s="8" t="s">
        <v>22</v>
      </c>
      <c r="C7" s="7" t="s">
        <v>23</v>
      </c>
      <c r="D7" s="7" t="s">
        <v>24</v>
      </c>
      <c r="E7" s="9" t="s">
        <v>25</v>
      </c>
      <c r="F7" s="8">
        <v>130</v>
      </c>
      <c r="G7" s="54">
        <v>130.72</v>
      </c>
      <c r="H7" s="54">
        <v>128.43</v>
      </c>
      <c r="I7" s="54">
        <v>2.29</v>
      </c>
      <c r="J7" s="54">
        <f>TRUNC(G7 * (1 + 0 / 100), 2)</f>
        <v>130.72</v>
      </c>
      <c r="K7" s="54">
        <f>TRUNC(F7 * H7, 2)</f>
        <v>16695.900000000001</v>
      </c>
      <c r="L7" s="54">
        <f>M7 - K7</f>
        <v>297.69999999999709</v>
      </c>
      <c r="M7" s="54">
        <f>TRUNC(F7 * J7, 2)</f>
        <v>16993.599999999999</v>
      </c>
      <c r="N7" s="10">
        <f t="shared" si="0"/>
        <v>6.5303700173072327E-3</v>
      </c>
      <c r="O7" s="66" t="s">
        <v>359</v>
      </c>
      <c r="P7" s="67">
        <f>IF(O7="BDI  PADRÃO",'BDI 2025'!$D$16,'BDI 2025'!$F$16)</f>
        <v>0.25130000000000002</v>
      </c>
      <c r="Q7" s="68">
        <f>TRUNC($H7*(1+$P7),2)</f>
        <v>160.69999999999999</v>
      </c>
      <c r="R7" s="68">
        <f>S7-Q7</f>
        <v>2.8600000000000136</v>
      </c>
      <c r="S7" s="68">
        <f>TRUNC($G7*(1+$P7),2)</f>
        <v>163.56</v>
      </c>
      <c r="T7" s="68">
        <f>TRUNC(Q7*$F7,2)</f>
        <v>20891</v>
      </c>
      <c r="U7" s="68">
        <f>V7-T7</f>
        <v>371.79999999999927</v>
      </c>
      <c r="V7" s="68">
        <f>TRUNC(S7*$F7,2)</f>
        <v>21262.799999999999</v>
      </c>
      <c r="W7" s="68">
        <f>TRUNC($H7*(1+$P7-$R$1),2)</f>
        <v>160.69999999999999</v>
      </c>
      <c r="X7" s="68">
        <f>Y7-W7</f>
        <v>2.8600000000000136</v>
      </c>
      <c r="Y7" s="68">
        <f>TRUNC($G7*(1+$P7-$R$1),2)</f>
        <v>163.56</v>
      </c>
      <c r="Z7" s="68">
        <f>TRUNC(W7*$F7,2)</f>
        <v>20891</v>
      </c>
      <c r="AA7" s="68">
        <f>AB7-Z7</f>
        <v>371.79999999999927</v>
      </c>
      <c r="AB7" s="68">
        <f>TRUNC(Y7*$F7,2)</f>
        <v>21262.799999999999</v>
      </c>
    </row>
    <row r="8" spans="1:28" ht="24" customHeight="1" x14ac:dyDescent="0.2">
      <c r="A8" s="7" t="s">
        <v>26</v>
      </c>
      <c r="B8" s="8" t="s">
        <v>27</v>
      </c>
      <c r="C8" s="7" t="s">
        <v>23</v>
      </c>
      <c r="D8" s="7" t="s">
        <v>28</v>
      </c>
      <c r="E8" s="9" t="s">
        <v>25</v>
      </c>
      <c r="F8" s="8">
        <v>520</v>
      </c>
      <c r="G8" s="54">
        <v>62.64</v>
      </c>
      <c r="H8" s="54">
        <v>59.77</v>
      </c>
      <c r="I8" s="54">
        <v>2.87</v>
      </c>
      <c r="J8" s="54">
        <f>TRUNC(G8 * (1 + 0 / 100), 2)</f>
        <v>62.64</v>
      </c>
      <c r="K8" s="54">
        <f>TRUNC(F8 * H8, 2)</f>
        <v>31080.400000000001</v>
      </c>
      <c r="L8" s="54">
        <f>M8 - K8</f>
        <v>1492.3999999999978</v>
      </c>
      <c r="M8" s="54">
        <f>TRUNC(F8 * J8, 2)</f>
        <v>32572.799999999999</v>
      </c>
      <c r="N8" s="10">
        <f t="shared" si="0"/>
        <v>1.2517208625585223E-2</v>
      </c>
      <c r="O8" s="66" t="s">
        <v>359</v>
      </c>
      <c r="P8" s="67">
        <f>IF(O8="BDI  PADRÃO",'BDI 2025'!$D$16,'BDI 2025'!$F$16)</f>
        <v>0.25130000000000002</v>
      </c>
      <c r="Q8" s="68">
        <f>TRUNC($H8*(1+$P8),2)</f>
        <v>74.790000000000006</v>
      </c>
      <c r="R8" s="68">
        <f>S8-Q8</f>
        <v>3.5899999999999892</v>
      </c>
      <c r="S8" s="68">
        <f>TRUNC($G8*(1+$P8),2)</f>
        <v>78.38</v>
      </c>
      <c r="T8" s="68">
        <f>TRUNC(Q8*$F8,2)</f>
        <v>38890.800000000003</v>
      </c>
      <c r="U8" s="68">
        <f>V8-T8</f>
        <v>1866.7999999999956</v>
      </c>
      <c r="V8" s="68">
        <f>TRUNC(S8*$F8,2)</f>
        <v>40757.599999999999</v>
      </c>
      <c r="W8" s="68">
        <f>TRUNC($H8*(1+$P8-$R$1),2)</f>
        <v>74.790000000000006</v>
      </c>
      <c r="X8" s="68">
        <f>Y8-W8</f>
        <v>3.5899999999999892</v>
      </c>
      <c r="Y8" s="68">
        <f>TRUNC($G8*(1+$P8-$R$1),2)</f>
        <v>78.38</v>
      </c>
      <c r="Z8" s="68">
        <f>TRUNC(W8*$F8,2)</f>
        <v>38890.800000000003</v>
      </c>
      <c r="AA8" s="68">
        <f>AB8-Z8</f>
        <v>1866.7999999999956</v>
      </c>
      <c r="AB8" s="68">
        <f>TRUNC(Y8*$F8,2)</f>
        <v>40757.599999999999</v>
      </c>
    </row>
    <row r="9" spans="1:28" ht="39" customHeight="1" x14ac:dyDescent="0.2">
      <c r="A9" s="7" t="s">
        <v>29</v>
      </c>
      <c r="B9" s="8" t="s">
        <v>30</v>
      </c>
      <c r="C9" s="7" t="s">
        <v>23</v>
      </c>
      <c r="D9" s="7" t="s">
        <v>31</v>
      </c>
      <c r="E9" s="9" t="s">
        <v>32</v>
      </c>
      <c r="F9" s="8">
        <v>3.75</v>
      </c>
      <c r="G9" s="54">
        <v>467.56</v>
      </c>
      <c r="H9" s="54">
        <v>34.200000000000003</v>
      </c>
      <c r="I9" s="54">
        <v>433.36</v>
      </c>
      <c r="J9" s="54">
        <f>TRUNC(G9 * (1 + 0 / 100), 2)</f>
        <v>467.56</v>
      </c>
      <c r="K9" s="54">
        <f>TRUNC(F9 * H9, 2)</f>
        <v>128.25</v>
      </c>
      <c r="L9" s="54">
        <f>M9 - K9</f>
        <v>1625.1</v>
      </c>
      <c r="M9" s="54">
        <f>TRUNC(F9 * J9, 2)</f>
        <v>1753.35</v>
      </c>
      <c r="N9" s="10">
        <f t="shared" si="0"/>
        <v>6.7378449944953606E-4</v>
      </c>
      <c r="O9" s="66" t="s">
        <v>359</v>
      </c>
      <c r="P9" s="67">
        <f>IF(O9="BDI  PADRÃO",'BDI 2025'!$D$16,'BDI 2025'!$F$16)</f>
        <v>0.25130000000000002</v>
      </c>
      <c r="Q9" s="68">
        <f>TRUNC($H9*(1+$P9),2)</f>
        <v>42.79</v>
      </c>
      <c r="R9" s="68">
        <f>S9-Q9</f>
        <v>542.26</v>
      </c>
      <c r="S9" s="68">
        <f>TRUNC($G9*(1+$P9),2)</f>
        <v>585.04999999999995</v>
      </c>
      <c r="T9" s="68">
        <f>TRUNC(Q9*$F9,2)</f>
        <v>160.46</v>
      </c>
      <c r="U9" s="68">
        <f>V9-T9</f>
        <v>2033.4699999999998</v>
      </c>
      <c r="V9" s="68">
        <f>TRUNC(S9*$F9,2)</f>
        <v>2193.9299999999998</v>
      </c>
      <c r="W9" s="68">
        <f>TRUNC($H9*(1+$P9-$R$1),2)</f>
        <v>42.79</v>
      </c>
      <c r="X9" s="68">
        <f>Y9-W9</f>
        <v>542.26</v>
      </c>
      <c r="Y9" s="68">
        <f>TRUNC($G9*(1+$P9-$R$1),2)</f>
        <v>585.04999999999995</v>
      </c>
      <c r="Z9" s="68">
        <f>TRUNC(W9*$F9,2)</f>
        <v>160.46</v>
      </c>
      <c r="AA9" s="68">
        <f>AB9-Z9</f>
        <v>2033.4699999999998</v>
      </c>
      <c r="AB9" s="68">
        <f>TRUNC(Y9*$F9,2)</f>
        <v>2193.9299999999998</v>
      </c>
    </row>
    <row r="10" spans="1:28" ht="24" customHeight="1" x14ac:dyDescent="0.2">
      <c r="A10" s="4" t="s">
        <v>33</v>
      </c>
      <c r="B10" s="4"/>
      <c r="C10" s="4"/>
      <c r="D10" s="4" t="s">
        <v>34</v>
      </c>
      <c r="E10" s="4"/>
      <c r="F10" s="5"/>
      <c r="G10" s="52"/>
      <c r="H10" s="52"/>
      <c r="I10" s="52"/>
      <c r="J10" s="52"/>
      <c r="K10" s="52"/>
      <c r="L10" s="52"/>
      <c r="M10" s="53">
        <v>233285.44</v>
      </c>
      <c r="N10" s="6">
        <f t="shared" si="0"/>
        <v>8.9647881723138437E-2</v>
      </c>
      <c r="O10" s="69"/>
      <c r="P10" s="69"/>
      <c r="Q10" s="69"/>
      <c r="R10" s="69"/>
      <c r="S10" s="69"/>
      <c r="T10" s="69"/>
      <c r="U10" s="69"/>
      <c r="V10" s="70">
        <f>SUM(V11,V32)</f>
        <v>291842.26</v>
      </c>
      <c r="W10" s="69"/>
      <c r="X10" s="69"/>
      <c r="Y10" s="69"/>
      <c r="Z10" s="69"/>
      <c r="AA10" s="69"/>
      <c r="AB10" s="70">
        <f>SUM(AB11,AB32)</f>
        <v>291842.26</v>
      </c>
    </row>
    <row r="11" spans="1:28" ht="24" customHeight="1" x14ac:dyDescent="0.2">
      <c r="A11" s="4" t="s">
        <v>35</v>
      </c>
      <c r="B11" s="4"/>
      <c r="C11" s="4"/>
      <c r="D11" s="4" t="s">
        <v>36</v>
      </c>
      <c r="E11" s="4"/>
      <c r="F11" s="5"/>
      <c r="G11" s="52"/>
      <c r="H11" s="52"/>
      <c r="I11" s="52"/>
      <c r="J11" s="52"/>
      <c r="K11" s="52"/>
      <c r="L11" s="52"/>
      <c r="M11" s="53">
        <v>177952.48</v>
      </c>
      <c r="N11" s="6">
        <f t="shared" si="0"/>
        <v>6.8384305850288638E-2</v>
      </c>
      <c r="O11" s="69"/>
      <c r="P11" s="69"/>
      <c r="Q11" s="69"/>
      <c r="R11" s="69"/>
      <c r="S11" s="69"/>
      <c r="T11" s="69"/>
      <c r="U11" s="69"/>
      <c r="V11" s="70">
        <f>SUM(V12,V18,V23,V27)</f>
        <v>222609.80000000002</v>
      </c>
      <c r="W11" s="69"/>
      <c r="X11" s="69"/>
      <c r="Y11" s="69"/>
      <c r="Z11" s="69"/>
      <c r="AA11" s="69"/>
      <c r="AB11" s="70">
        <f>SUM(AB12,AB18,AB23,AB27)</f>
        <v>222609.80000000002</v>
      </c>
    </row>
    <row r="12" spans="1:28" ht="24" customHeight="1" x14ac:dyDescent="0.2">
      <c r="A12" s="4" t="s">
        <v>37</v>
      </c>
      <c r="B12" s="4"/>
      <c r="C12" s="4"/>
      <c r="D12" s="4" t="s">
        <v>38</v>
      </c>
      <c r="E12" s="4"/>
      <c r="F12" s="5"/>
      <c r="G12" s="52"/>
      <c r="H12" s="52"/>
      <c r="I12" s="52"/>
      <c r="J12" s="52"/>
      <c r="K12" s="52"/>
      <c r="L12" s="52"/>
      <c r="M12" s="53">
        <v>118882.82</v>
      </c>
      <c r="N12" s="6">
        <f t="shared" si="0"/>
        <v>4.5684775639119005E-2</v>
      </c>
      <c r="O12" s="69"/>
      <c r="P12" s="69"/>
      <c r="Q12" s="69"/>
      <c r="R12" s="69"/>
      <c r="S12" s="69"/>
      <c r="T12" s="69"/>
      <c r="U12" s="69"/>
      <c r="V12" s="70">
        <f>SUM(V13:V17)</f>
        <v>148712.63999999998</v>
      </c>
      <c r="W12" s="69"/>
      <c r="X12" s="69"/>
      <c r="Y12" s="69"/>
      <c r="Z12" s="69"/>
      <c r="AA12" s="69"/>
      <c r="AB12" s="70">
        <f>SUM(AB13:AB17)</f>
        <v>148712.63999999998</v>
      </c>
    </row>
    <row r="13" spans="1:28" ht="26.1" customHeight="1" x14ac:dyDescent="0.2">
      <c r="A13" s="7" t="s">
        <v>39</v>
      </c>
      <c r="B13" s="8" t="s">
        <v>40</v>
      </c>
      <c r="C13" s="7" t="s">
        <v>23</v>
      </c>
      <c r="D13" s="7" t="s">
        <v>41</v>
      </c>
      <c r="E13" s="9" t="s">
        <v>32</v>
      </c>
      <c r="F13" s="8">
        <v>3825.51</v>
      </c>
      <c r="G13" s="54">
        <v>28.4</v>
      </c>
      <c r="H13" s="54">
        <v>19.149999999999999</v>
      </c>
      <c r="I13" s="54">
        <v>9.25</v>
      </c>
      <c r="J13" s="54">
        <f>TRUNC(G13 * (1 + 0 / 100), 2)</f>
        <v>28.4</v>
      </c>
      <c r="K13" s="54">
        <f>TRUNC(F13 * H13, 2)</f>
        <v>73258.509999999995</v>
      </c>
      <c r="L13" s="54">
        <f>M13 - K13</f>
        <v>35385.97</v>
      </c>
      <c r="M13" s="54">
        <f>TRUNC(F13 * J13, 2)</f>
        <v>108644.48</v>
      </c>
      <c r="N13" s="10">
        <f t="shared" si="0"/>
        <v>4.1750344526053057E-2</v>
      </c>
      <c r="O13" s="66" t="s">
        <v>359</v>
      </c>
      <c r="P13" s="67">
        <f>IF(O13="BDI  PADRÃO",'BDI 2025'!$D$16,'BDI 2025'!$F$16)</f>
        <v>0.25130000000000002</v>
      </c>
      <c r="Q13" s="68">
        <f>TRUNC($H13*(1+$P13),2)</f>
        <v>23.96</v>
      </c>
      <c r="R13" s="68">
        <f>S13-Q13</f>
        <v>11.57</v>
      </c>
      <c r="S13" s="68">
        <f>TRUNC($G13*(1+$P13),2)</f>
        <v>35.53</v>
      </c>
      <c r="T13" s="68">
        <f>TRUNC(Q13*$F13,2)</f>
        <v>91659.21</v>
      </c>
      <c r="U13" s="68">
        <f>V13-T13</f>
        <v>44261.159999999989</v>
      </c>
      <c r="V13" s="68">
        <f>TRUNC(S13*$F13,2)</f>
        <v>135920.37</v>
      </c>
      <c r="W13" s="68">
        <f>TRUNC($H13*(1+$P13-$R$1),2)</f>
        <v>23.96</v>
      </c>
      <c r="X13" s="68">
        <f>Y13-W13</f>
        <v>11.57</v>
      </c>
      <c r="Y13" s="68">
        <f>TRUNC($G13*(1+$P13-$R$1),2)</f>
        <v>35.53</v>
      </c>
      <c r="Z13" s="68">
        <f>TRUNC(W13*$F13,2)</f>
        <v>91659.21</v>
      </c>
      <c r="AA13" s="68">
        <f>AB13-Z13</f>
        <v>44261.159999999989</v>
      </c>
      <c r="AB13" s="68">
        <f>TRUNC(Y13*$F13,2)</f>
        <v>135920.37</v>
      </c>
    </row>
    <row r="14" spans="1:28" ht="26.1" customHeight="1" x14ac:dyDescent="0.2">
      <c r="A14" s="7" t="s">
        <v>42</v>
      </c>
      <c r="B14" s="8" t="s">
        <v>43</v>
      </c>
      <c r="C14" s="7" t="s">
        <v>23</v>
      </c>
      <c r="D14" s="7" t="s">
        <v>44</v>
      </c>
      <c r="E14" s="9" t="s">
        <v>45</v>
      </c>
      <c r="F14" s="8">
        <v>2216.62</v>
      </c>
      <c r="G14" s="54">
        <v>3.25</v>
      </c>
      <c r="H14" s="54">
        <v>2.19</v>
      </c>
      <c r="I14" s="54">
        <v>1.06</v>
      </c>
      <c r="J14" s="54">
        <f>TRUNC(G14 * (1 + 0 / 100), 2)</f>
        <v>3.25</v>
      </c>
      <c r="K14" s="54">
        <f>TRUNC(F14 * H14, 2)</f>
        <v>4854.3900000000003</v>
      </c>
      <c r="L14" s="54">
        <f>M14 - K14</f>
        <v>2349.62</v>
      </c>
      <c r="M14" s="54">
        <f>TRUNC(F14 * J14, 2)</f>
        <v>7204.01</v>
      </c>
      <c r="N14" s="10">
        <f t="shared" si="0"/>
        <v>2.7683863871328898E-3</v>
      </c>
      <c r="O14" s="66" t="s">
        <v>359</v>
      </c>
      <c r="P14" s="67">
        <f>IF(O14="BDI  PADRÃO",'BDI 2025'!$D$16,'BDI 2025'!$F$16)</f>
        <v>0.25130000000000002</v>
      </c>
      <c r="Q14" s="68">
        <f>TRUNC($H14*(1+$P14),2)</f>
        <v>2.74</v>
      </c>
      <c r="R14" s="68">
        <f>S14-Q14</f>
        <v>1.3199999999999994</v>
      </c>
      <c r="S14" s="68">
        <f>TRUNC($G14*(1+$P14),2)</f>
        <v>4.0599999999999996</v>
      </c>
      <c r="T14" s="68">
        <f>TRUNC(Q14*$F14,2)</f>
        <v>6073.53</v>
      </c>
      <c r="U14" s="68">
        <f>V14-T14</f>
        <v>2925.9399999999996</v>
      </c>
      <c r="V14" s="68">
        <f>TRUNC(S14*$F14,2)</f>
        <v>8999.4699999999993</v>
      </c>
      <c r="W14" s="68">
        <f>TRUNC($H14*(1+$P14-$R$1),2)</f>
        <v>2.74</v>
      </c>
      <c r="X14" s="68">
        <f>Y14-W14</f>
        <v>1.3199999999999994</v>
      </c>
      <c r="Y14" s="68">
        <f>TRUNC($G14*(1+$P14-$R$1),2)</f>
        <v>4.0599999999999996</v>
      </c>
      <c r="Z14" s="68">
        <f>TRUNC(W14*$F14,2)</f>
        <v>6073.53</v>
      </c>
      <c r="AA14" s="68">
        <f>AB14-Z14</f>
        <v>2925.9399999999996</v>
      </c>
      <c r="AB14" s="68">
        <f>TRUNC(Y14*$F14,2)</f>
        <v>8999.4699999999993</v>
      </c>
    </row>
    <row r="15" spans="1:28" ht="24" customHeight="1" x14ac:dyDescent="0.2">
      <c r="A15" s="7" t="s">
        <v>46</v>
      </c>
      <c r="B15" s="8" t="s">
        <v>47</v>
      </c>
      <c r="C15" s="7" t="s">
        <v>48</v>
      </c>
      <c r="D15" s="7" t="s">
        <v>49</v>
      </c>
      <c r="E15" s="9" t="s">
        <v>32</v>
      </c>
      <c r="F15" s="8">
        <v>41.6</v>
      </c>
      <c r="G15" s="54">
        <v>26.97</v>
      </c>
      <c r="H15" s="54">
        <v>17.96</v>
      </c>
      <c r="I15" s="54">
        <v>9.01</v>
      </c>
      <c r="J15" s="54">
        <f>TRUNC(G15 * (1 + 0 / 100), 2)</f>
        <v>26.97</v>
      </c>
      <c r="K15" s="54">
        <f>TRUNC(F15 * H15, 2)</f>
        <v>747.13</v>
      </c>
      <c r="L15" s="54">
        <f>M15 - K15</f>
        <v>374.82000000000005</v>
      </c>
      <c r="M15" s="54">
        <f>TRUNC(F15 * J15, 2)</f>
        <v>1121.95</v>
      </c>
      <c r="N15" s="10">
        <f t="shared" si="0"/>
        <v>4.3114752853532211E-4</v>
      </c>
      <c r="O15" s="66" t="s">
        <v>359</v>
      </c>
      <c r="P15" s="67">
        <f>IF(O15="BDI  PADRÃO",'BDI 2025'!$D$16,'BDI 2025'!$F$16)</f>
        <v>0.25130000000000002</v>
      </c>
      <c r="Q15" s="68">
        <f>TRUNC($H15*(1+$P15),2)</f>
        <v>22.47</v>
      </c>
      <c r="R15" s="68">
        <f>S15-Q15</f>
        <v>11.270000000000003</v>
      </c>
      <c r="S15" s="68">
        <f>TRUNC($G15*(1+$P15),2)</f>
        <v>33.74</v>
      </c>
      <c r="T15" s="68">
        <f>TRUNC(Q15*$F15,2)</f>
        <v>934.75</v>
      </c>
      <c r="U15" s="68">
        <f>V15-T15</f>
        <v>468.82999999999993</v>
      </c>
      <c r="V15" s="68">
        <f>TRUNC(S15*$F15,2)</f>
        <v>1403.58</v>
      </c>
      <c r="W15" s="68">
        <f>TRUNC($H15*(1+$P15-$R$1),2)</f>
        <v>22.47</v>
      </c>
      <c r="X15" s="68">
        <f>Y15-W15</f>
        <v>11.270000000000003</v>
      </c>
      <c r="Y15" s="68">
        <f>TRUNC($G15*(1+$P15-$R$1),2)</f>
        <v>33.74</v>
      </c>
      <c r="Z15" s="68">
        <f>TRUNC(W15*$F15,2)</f>
        <v>934.75</v>
      </c>
      <c r="AA15" s="68">
        <f>AB15-Z15</f>
        <v>468.82999999999993</v>
      </c>
      <c r="AB15" s="68">
        <f>TRUNC(Y15*$F15,2)</f>
        <v>1403.58</v>
      </c>
    </row>
    <row r="16" spans="1:28" ht="24" customHeight="1" x14ac:dyDescent="0.2">
      <c r="A16" s="7" t="s">
        <v>50</v>
      </c>
      <c r="B16" s="8" t="s">
        <v>51</v>
      </c>
      <c r="C16" s="7" t="s">
        <v>48</v>
      </c>
      <c r="D16" s="7" t="s">
        <v>52</v>
      </c>
      <c r="E16" s="9" t="s">
        <v>45</v>
      </c>
      <c r="F16" s="8">
        <v>24.6</v>
      </c>
      <c r="G16" s="54">
        <v>22.58</v>
      </c>
      <c r="H16" s="54">
        <v>15.27</v>
      </c>
      <c r="I16" s="54">
        <v>7.31</v>
      </c>
      <c r="J16" s="54">
        <f>TRUNC(G16 * (1 + 0 / 100), 2)</f>
        <v>22.58</v>
      </c>
      <c r="K16" s="54">
        <f>TRUNC(F16 * H16, 2)</f>
        <v>375.64</v>
      </c>
      <c r="L16" s="54">
        <f>M16 - K16</f>
        <v>179.82000000000005</v>
      </c>
      <c r="M16" s="54">
        <f>TRUNC(F16 * J16, 2)</f>
        <v>555.46</v>
      </c>
      <c r="N16" s="10">
        <f t="shared" si="0"/>
        <v>2.1345443754198498E-4</v>
      </c>
      <c r="O16" s="66" t="s">
        <v>359</v>
      </c>
      <c r="P16" s="67">
        <f>IF(O16="BDI  PADRÃO",'BDI 2025'!$D$16,'BDI 2025'!$F$16)</f>
        <v>0.25130000000000002</v>
      </c>
      <c r="Q16" s="68">
        <f>TRUNC($H16*(1+$P16),2)</f>
        <v>19.100000000000001</v>
      </c>
      <c r="R16" s="68">
        <f>S16-Q16</f>
        <v>9.1499999999999986</v>
      </c>
      <c r="S16" s="68">
        <f>TRUNC($G16*(1+$P16),2)</f>
        <v>28.25</v>
      </c>
      <c r="T16" s="68">
        <f>TRUNC(Q16*$F16,2)</f>
        <v>469.86</v>
      </c>
      <c r="U16" s="68">
        <f>V16-T16</f>
        <v>225.09000000000003</v>
      </c>
      <c r="V16" s="68">
        <f>TRUNC(S16*$F16,2)</f>
        <v>694.95</v>
      </c>
      <c r="W16" s="68">
        <f>TRUNC($H16*(1+$P16-$R$1),2)</f>
        <v>19.100000000000001</v>
      </c>
      <c r="X16" s="68">
        <f>Y16-W16</f>
        <v>9.1499999999999986</v>
      </c>
      <c r="Y16" s="68">
        <f>TRUNC($G16*(1+$P16-$R$1),2)</f>
        <v>28.25</v>
      </c>
      <c r="Z16" s="68">
        <f>TRUNC(W16*$F16,2)</f>
        <v>469.86</v>
      </c>
      <c r="AA16" s="68">
        <f>AB16-Z16</f>
        <v>225.09000000000003</v>
      </c>
      <c r="AB16" s="68">
        <f>TRUNC(Y16*$F16,2)</f>
        <v>694.95</v>
      </c>
    </row>
    <row r="17" spans="1:28" ht="26.1" customHeight="1" x14ac:dyDescent="0.2">
      <c r="A17" s="7" t="s">
        <v>53</v>
      </c>
      <c r="B17" s="8" t="s">
        <v>54</v>
      </c>
      <c r="C17" s="7" t="s">
        <v>23</v>
      </c>
      <c r="D17" s="7" t="s">
        <v>55</v>
      </c>
      <c r="E17" s="9" t="s">
        <v>32</v>
      </c>
      <c r="F17" s="8">
        <v>374.84</v>
      </c>
      <c r="G17" s="54">
        <v>3.62</v>
      </c>
      <c r="H17" s="54">
        <v>2.44</v>
      </c>
      <c r="I17" s="54">
        <v>1.18</v>
      </c>
      <c r="J17" s="54">
        <f>TRUNC(G17 * (1 + 0 / 100), 2)</f>
        <v>3.62</v>
      </c>
      <c r="K17" s="54">
        <f>TRUNC(F17 * H17, 2)</f>
        <v>914.6</v>
      </c>
      <c r="L17" s="54">
        <f>M17 - K17</f>
        <v>442.32000000000005</v>
      </c>
      <c r="M17" s="54">
        <f>TRUNC(F17 * J17, 2)</f>
        <v>1356.92</v>
      </c>
      <c r="N17" s="10">
        <f t="shared" si="0"/>
        <v>5.2144275985574159E-4</v>
      </c>
      <c r="O17" s="66" t="s">
        <v>359</v>
      </c>
      <c r="P17" s="67">
        <f>IF(O17="BDI  PADRÃO",'BDI 2025'!$D$16,'BDI 2025'!$F$16)</f>
        <v>0.25130000000000002</v>
      </c>
      <c r="Q17" s="68">
        <f>TRUNC($H17*(1+$P17),2)</f>
        <v>3.05</v>
      </c>
      <c r="R17" s="68">
        <f>S17-Q17</f>
        <v>1.4699999999999998</v>
      </c>
      <c r="S17" s="68">
        <f>TRUNC($G17*(1+$P17),2)</f>
        <v>4.5199999999999996</v>
      </c>
      <c r="T17" s="68">
        <f>TRUNC(Q17*$F17,2)</f>
        <v>1143.26</v>
      </c>
      <c r="U17" s="68">
        <f>V17-T17</f>
        <v>551.01</v>
      </c>
      <c r="V17" s="68">
        <f>TRUNC(S17*$F17,2)</f>
        <v>1694.27</v>
      </c>
      <c r="W17" s="68">
        <f>TRUNC($H17*(1+$P17-$R$1),2)</f>
        <v>3.05</v>
      </c>
      <c r="X17" s="68">
        <f>Y17-W17</f>
        <v>1.4699999999999998</v>
      </c>
      <c r="Y17" s="68">
        <f>TRUNC($G17*(1+$P17-$R$1),2)</f>
        <v>4.5199999999999996</v>
      </c>
      <c r="Z17" s="68">
        <f>TRUNC(W17*$F17,2)</f>
        <v>1143.26</v>
      </c>
      <c r="AA17" s="68">
        <f>AB17-Z17</f>
        <v>551.01</v>
      </c>
      <c r="AB17" s="68">
        <f>TRUNC(Y17*$F17,2)</f>
        <v>1694.27</v>
      </c>
    </row>
    <row r="18" spans="1:28" ht="24" customHeight="1" x14ac:dyDescent="0.2">
      <c r="A18" s="4" t="s">
        <v>56</v>
      </c>
      <c r="B18" s="4"/>
      <c r="C18" s="4"/>
      <c r="D18" s="4" t="s">
        <v>57</v>
      </c>
      <c r="E18" s="4"/>
      <c r="F18" s="5"/>
      <c r="G18" s="52"/>
      <c r="H18" s="52"/>
      <c r="I18" s="52"/>
      <c r="J18" s="52"/>
      <c r="K18" s="52"/>
      <c r="L18" s="52"/>
      <c r="M18" s="53">
        <v>42311.19</v>
      </c>
      <c r="N18" s="6">
        <f t="shared" si="0"/>
        <v>1.6259516910636335E-2</v>
      </c>
      <c r="O18" s="69"/>
      <c r="P18" s="69"/>
      <c r="Q18" s="69"/>
      <c r="R18" s="69"/>
      <c r="S18" s="69"/>
      <c r="T18" s="69"/>
      <c r="U18" s="69"/>
      <c r="V18" s="70">
        <f>SUM(V19:V22)</f>
        <v>52930.05</v>
      </c>
      <c r="W18" s="69"/>
      <c r="X18" s="69"/>
      <c r="Y18" s="69"/>
      <c r="Z18" s="69"/>
      <c r="AA18" s="69"/>
      <c r="AB18" s="70">
        <f>SUM(AB19:AB22)</f>
        <v>52930.05</v>
      </c>
    </row>
    <row r="19" spans="1:28" ht="24" customHeight="1" x14ac:dyDescent="0.2">
      <c r="A19" s="7" t="s">
        <v>58</v>
      </c>
      <c r="B19" s="8" t="s">
        <v>59</v>
      </c>
      <c r="C19" s="7" t="s">
        <v>60</v>
      </c>
      <c r="D19" s="7" t="s">
        <v>61</v>
      </c>
      <c r="E19" s="9" t="s">
        <v>32</v>
      </c>
      <c r="F19" s="8">
        <v>759.33</v>
      </c>
      <c r="G19" s="54">
        <v>40.229999999999997</v>
      </c>
      <c r="H19" s="54">
        <v>29.36</v>
      </c>
      <c r="I19" s="54">
        <v>10.87</v>
      </c>
      <c r="J19" s="54">
        <f>TRUNC(G19 * (1 + 0 / 100), 2)</f>
        <v>40.229999999999997</v>
      </c>
      <c r="K19" s="54">
        <f>TRUNC(F19 * H19, 2)</f>
        <v>22293.919999999998</v>
      </c>
      <c r="L19" s="54">
        <f>M19 - K19</f>
        <v>8253.9200000000019</v>
      </c>
      <c r="M19" s="54">
        <f>TRUNC(F19 * J19, 2)</f>
        <v>30547.84</v>
      </c>
      <c r="N19" s="10">
        <f t="shared" si="0"/>
        <v>1.1739048725961454E-2</v>
      </c>
      <c r="O19" s="66" t="s">
        <v>359</v>
      </c>
      <c r="P19" s="67">
        <f>IF(O19="BDI  PADRÃO",'BDI 2025'!$D$16,'BDI 2025'!$F$16)</f>
        <v>0.25130000000000002</v>
      </c>
      <c r="Q19" s="68">
        <f t="shared" ref="Q19:Q22" si="1">TRUNC($H19*(1+$P19),2)</f>
        <v>36.729999999999997</v>
      </c>
      <c r="R19" s="68">
        <f t="shared" ref="R19:R22" si="2">S19-Q19</f>
        <v>13.600000000000001</v>
      </c>
      <c r="S19" s="68">
        <f t="shared" ref="S19:S22" si="3">TRUNC($G19*(1+$P19),2)</f>
        <v>50.33</v>
      </c>
      <c r="T19" s="68">
        <f t="shared" ref="T19:T22" si="4">TRUNC(Q19*$F19,2)</f>
        <v>27890.19</v>
      </c>
      <c r="U19" s="68">
        <f t="shared" ref="U19:U22" si="5">V19-T19</f>
        <v>10326.880000000001</v>
      </c>
      <c r="V19" s="68">
        <f t="shared" ref="V19:V22" si="6">TRUNC(S19*$F19,2)</f>
        <v>38217.07</v>
      </c>
      <c r="W19" s="68">
        <f t="shared" ref="W19:W22" si="7">TRUNC($H19*(1+$P19-$R$1),2)</f>
        <v>36.729999999999997</v>
      </c>
      <c r="X19" s="68">
        <f t="shared" ref="X19:X22" si="8">Y19-W19</f>
        <v>13.600000000000001</v>
      </c>
      <c r="Y19" s="68">
        <f t="shared" ref="Y19:Y22" si="9">TRUNC($G19*(1+$P19-$R$1),2)</f>
        <v>50.33</v>
      </c>
      <c r="Z19" s="68">
        <f t="shared" ref="Z19:Z22" si="10">TRUNC(W19*$F19,2)</f>
        <v>27890.19</v>
      </c>
      <c r="AA19" s="68">
        <f t="shared" ref="AA19:AA22" si="11">AB19-Z19</f>
        <v>10326.880000000001</v>
      </c>
      <c r="AB19" s="68">
        <f t="shared" ref="AB19:AB22" si="12">TRUNC(Y19*$F19,2)</f>
        <v>38217.07</v>
      </c>
    </row>
    <row r="20" spans="1:28" ht="24" customHeight="1" x14ac:dyDescent="0.2">
      <c r="A20" s="7" t="s">
        <v>62</v>
      </c>
      <c r="B20" s="8" t="s">
        <v>63</v>
      </c>
      <c r="C20" s="7" t="s">
        <v>48</v>
      </c>
      <c r="D20" s="7" t="s">
        <v>64</v>
      </c>
      <c r="E20" s="9" t="s">
        <v>65</v>
      </c>
      <c r="F20" s="8">
        <v>32</v>
      </c>
      <c r="G20" s="54">
        <v>120.84</v>
      </c>
      <c r="H20" s="54">
        <v>82.8</v>
      </c>
      <c r="I20" s="54">
        <v>38.04</v>
      </c>
      <c r="J20" s="54">
        <f>TRUNC(G20 * (1 + 0 / 100), 2)</f>
        <v>120.84</v>
      </c>
      <c r="K20" s="54">
        <f>TRUNC(F20 * H20, 2)</f>
        <v>2649.6</v>
      </c>
      <c r="L20" s="54">
        <f>M20 - K20</f>
        <v>1217.2800000000002</v>
      </c>
      <c r="M20" s="54">
        <f>TRUNC(F20 * J20, 2)</f>
        <v>3866.88</v>
      </c>
      <c r="N20" s="10">
        <f t="shared" si="0"/>
        <v>1.4859804404319858E-3</v>
      </c>
      <c r="O20" s="66" t="s">
        <v>359</v>
      </c>
      <c r="P20" s="67">
        <f>IF(O20="BDI  PADRÃO",'BDI 2025'!$D$16,'BDI 2025'!$F$16)</f>
        <v>0.25130000000000002</v>
      </c>
      <c r="Q20" s="68">
        <f t="shared" si="1"/>
        <v>103.6</v>
      </c>
      <c r="R20" s="68">
        <f t="shared" si="2"/>
        <v>47.599999999999994</v>
      </c>
      <c r="S20" s="68">
        <f t="shared" si="3"/>
        <v>151.19999999999999</v>
      </c>
      <c r="T20" s="68">
        <f t="shared" si="4"/>
        <v>3315.2</v>
      </c>
      <c r="U20" s="68">
        <f t="shared" si="5"/>
        <v>1523.1999999999998</v>
      </c>
      <c r="V20" s="68">
        <f t="shared" si="6"/>
        <v>4838.3999999999996</v>
      </c>
      <c r="W20" s="68">
        <f t="shared" si="7"/>
        <v>103.6</v>
      </c>
      <c r="X20" s="68">
        <f t="shared" si="8"/>
        <v>47.599999999999994</v>
      </c>
      <c r="Y20" s="68">
        <f t="shared" si="9"/>
        <v>151.19999999999999</v>
      </c>
      <c r="Z20" s="68">
        <f t="shared" si="10"/>
        <v>3315.2</v>
      </c>
      <c r="AA20" s="68">
        <f t="shared" si="11"/>
        <v>1523.1999999999998</v>
      </c>
      <c r="AB20" s="68">
        <f t="shared" si="12"/>
        <v>4838.3999999999996</v>
      </c>
    </row>
    <row r="21" spans="1:28" ht="24" customHeight="1" x14ac:dyDescent="0.2">
      <c r="A21" s="7" t="s">
        <v>66</v>
      </c>
      <c r="B21" s="8" t="s">
        <v>67</v>
      </c>
      <c r="C21" s="7" t="s">
        <v>68</v>
      </c>
      <c r="D21" s="7" t="s">
        <v>69</v>
      </c>
      <c r="E21" s="9" t="s">
        <v>45</v>
      </c>
      <c r="F21" s="8">
        <v>18.600000000000001</v>
      </c>
      <c r="G21" s="54">
        <v>25.17</v>
      </c>
      <c r="H21" s="54">
        <v>17.72</v>
      </c>
      <c r="I21" s="54">
        <v>7.45</v>
      </c>
      <c r="J21" s="54">
        <f>TRUNC(G21 * (1 + 0 / 100), 2)</f>
        <v>25.17</v>
      </c>
      <c r="K21" s="54">
        <f>TRUNC(F21 * H21, 2)</f>
        <v>329.59</v>
      </c>
      <c r="L21" s="54">
        <f>M21 - K21</f>
        <v>138.57000000000005</v>
      </c>
      <c r="M21" s="54">
        <f>TRUNC(F21 * J21, 2)</f>
        <v>468.16</v>
      </c>
      <c r="N21" s="10">
        <f t="shared" si="0"/>
        <v>1.7990643697053915E-4</v>
      </c>
      <c r="O21" s="66" t="s">
        <v>359</v>
      </c>
      <c r="P21" s="67">
        <f>IF(O21="BDI  PADRÃO",'BDI 2025'!$D$16,'BDI 2025'!$F$16)</f>
        <v>0.25130000000000002</v>
      </c>
      <c r="Q21" s="68">
        <f t="shared" si="1"/>
        <v>22.17</v>
      </c>
      <c r="R21" s="68">
        <f t="shared" si="2"/>
        <v>9.3199999999999967</v>
      </c>
      <c r="S21" s="68">
        <f t="shared" si="3"/>
        <v>31.49</v>
      </c>
      <c r="T21" s="68">
        <f t="shared" si="4"/>
        <v>412.36</v>
      </c>
      <c r="U21" s="68">
        <f t="shared" si="5"/>
        <v>173.35000000000002</v>
      </c>
      <c r="V21" s="68">
        <f t="shared" si="6"/>
        <v>585.71</v>
      </c>
      <c r="W21" s="68">
        <f t="shared" si="7"/>
        <v>22.17</v>
      </c>
      <c r="X21" s="68">
        <f t="shared" si="8"/>
        <v>9.3199999999999967</v>
      </c>
      <c r="Y21" s="68">
        <f t="shared" si="9"/>
        <v>31.49</v>
      </c>
      <c r="Z21" s="68">
        <f t="shared" si="10"/>
        <v>412.36</v>
      </c>
      <c r="AA21" s="68">
        <f t="shared" si="11"/>
        <v>173.35000000000002</v>
      </c>
      <c r="AB21" s="68">
        <f t="shared" si="12"/>
        <v>585.71</v>
      </c>
    </row>
    <row r="22" spans="1:28" ht="26.1" customHeight="1" x14ac:dyDescent="0.2">
      <c r="A22" s="7" t="s">
        <v>70</v>
      </c>
      <c r="B22" s="8" t="s">
        <v>71</v>
      </c>
      <c r="C22" s="7" t="s">
        <v>60</v>
      </c>
      <c r="D22" s="7" t="s">
        <v>72</v>
      </c>
      <c r="E22" s="9" t="s">
        <v>32</v>
      </c>
      <c r="F22" s="8">
        <v>696.84</v>
      </c>
      <c r="G22" s="54">
        <v>10.66</v>
      </c>
      <c r="H22" s="54">
        <v>6.98</v>
      </c>
      <c r="I22" s="54">
        <v>3.68</v>
      </c>
      <c r="J22" s="54">
        <f>TRUNC(G22 * (1 + 0 / 100), 2)</f>
        <v>10.66</v>
      </c>
      <c r="K22" s="54">
        <f>TRUNC(F22 * H22, 2)</f>
        <v>4863.9399999999996</v>
      </c>
      <c r="L22" s="54">
        <f>M22 - K22</f>
        <v>2564.3700000000008</v>
      </c>
      <c r="M22" s="54">
        <f>TRUNC(F22 * J22, 2)</f>
        <v>7428.31</v>
      </c>
      <c r="N22" s="10">
        <f t="shared" si="0"/>
        <v>2.8545813072723553E-3</v>
      </c>
      <c r="O22" s="66" t="s">
        <v>359</v>
      </c>
      <c r="P22" s="67">
        <f>IF(O22="BDI  PADRÃO",'BDI 2025'!$D$16,'BDI 2025'!$F$16)</f>
        <v>0.25130000000000002</v>
      </c>
      <c r="Q22" s="68">
        <f t="shared" si="1"/>
        <v>8.73</v>
      </c>
      <c r="R22" s="68">
        <f t="shared" si="2"/>
        <v>4.5999999999999996</v>
      </c>
      <c r="S22" s="68">
        <f t="shared" si="3"/>
        <v>13.33</v>
      </c>
      <c r="T22" s="68">
        <f t="shared" si="4"/>
        <v>6083.41</v>
      </c>
      <c r="U22" s="68">
        <f t="shared" si="5"/>
        <v>3205.4600000000009</v>
      </c>
      <c r="V22" s="68">
        <f t="shared" si="6"/>
        <v>9288.8700000000008</v>
      </c>
      <c r="W22" s="68">
        <f t="shared" si="7"/>
        <v>8.73</v>
      </c>
      <c r="X22" s="68">
        <f t="shared" si="8"/>
        <v>4.5999999999999996</v>
      </c>
      <c r="Y22" s="68">
        <f t="shared" si="9"/>
        <v>13.33</v>
      </c>
      <c r="Z22" s="68">
        <f t="shared" si="10"/>
        <v>6083.41</v>
      </c>
      <c r="AA22" s="68">
        <f t="shared" si="11"/>
        <v>3205.4600000000009</v>
      </c>
      <c r="AB22" s="68">
        <f t="shared" si="12"/>
        <v>9288.8700000000008</v>
      </c>
    </row>
    <row r="23" spans="1:28" ht="24" customHeight="1" x14ac:dyDescent="0.2">
      <c r="A23" s="4" t="s">
        <v>73</v>
      </c>
      <c r="B23" s="4"/>
      <c r="C23" s="4"/>
      <c r="D23" s="4" t="s">
        <v>74</v>
      </c>
      <c r="E23" s="4"/>
      <c r="F23" s="5"/>
      <c r="G23" s="52"/>
      <c r="H23" s="52"/>
      <c r="I23" s="52"/>
      <c r="J23" s="52"/>
      <c r="K23" s="52"/>
      <c r="L23" s="52"/>
      <c r="M23" s="53">
        <v>16203.74</v>
      </c>
      <c r="N23" s="6">
        <f t="shared" si="0"/>
        <v>6.2268393903729584E-3</v>
      </c>
      <c r="O23" s="69"/>
      <c r="P23" s="69"/>
      <c r="Q23" s="69"/>
      <c r="R23" s="69"/>
      <c r="S23" s="69"/>
      <c r="T23" s="69"/>
      <c r="U23" s="69"/>
      <c r="V23" s="70">
        <f>SUM(V24:V26)</f>
        <v>20273.07</v>
      </c>
      <c r="W23" s="69"/>
      <c r="X23" s="69"/>
      <c r="Y23" s="69"/>
      <c r="Z23" s="69"/>
      <c r="AA23" s="69"/>
      <c r="AB23" s="70">
        <f>SUM(AB24:AB26)</f>
        <v>20273.07</v>
      </c>
    </row>
    <row r="24" spans="1:28" ht="24" customHeight="1" x14ac:dyDescent="0.2">
      <c r="A24" s="7" t="s">
        <v>75</v>
      </c>
      <c r="B24" s="8" t="s">
        <v>76</v>
      </c>
      <c r="C24" s="7" t="s">
        <v>48</v>
      </c>
      <c r="D24" s="7" t="s">
        <v>77</v>
      </c>
      <c r="E24" s="9" t="s">
        <v>32</v>
      </c>
      <c r="F24" s="8">
        <v>152.86000000000001</v>
      </c>
      <c r="G24" s="54">
        <v>61.03</v>
      </c>
      <c r="H24" s="54">
        <v>40.94</v>
      </c>
      <c r="I24" s="54">
        <v>20.09</v>
      </c>
      <c r="J24" s="54">
        <f>TRUNC(G24 * (1 + 0 / 100), 2)</f>
        <v>61.03</v>
      </c>
      <c r="K24" s="54">
        <f>TRUNC(F24 * H24, 2)</f>
        <v>6258.08</v>
      </c>
      <c r="L24" s="54">
        <f>M24 - K24</f>
        <v>3070.9600000000009</v>
      </c>
      <c r="M24" s="54">
        <f>TRUNC(F24 * J24, 2)</f>
        <v>9329.0400000000009</v>
      </c>
      <c r="N24" s="10">
        <f t="shared" si="0"/>
        <v>3.5850015950863782E-3</v>
      </c>
      <c r="O24" s="71" t="s">
        <v>359</v>
      </c>
      <c r="P24" s="67">
        <f>IF(O24="BDI  PADRÃO",'BDI 2025'!$D$16,'BDI 2025'!$F$16)</f>
        <v>0.25130000000000002</v>
      </c>
      <c r="Q24" s="68">
        <f t="shared" ref="Q24:Q26" si="13">TRUNC($H24*(1+$P24),2)</f>
        <v>51.22</v>
      </c>
      <c r="R24" s="68">
        <f t="shared" ref="R24:R26" si="14">S24-Q24</f>
        <v>25.14</v>
      </c>
      <c r="S24" s="68">
        <f t="shared" ref="S24:S26" si="15">TRUNC($G24*(1+$P24),2)</f>
        <v>76.36</v>
      </c>
      <c r="T24" s="68">
        <f t="shared" ref="T24:T26" si="16">TRUNC(Q24*$F24,2)</f>
        <v>7829.48</v>
      </c>
      <c r="U24" s="68">
        <f t="shared" ref="U24:U26" si="17">V24-T24</f>
        <v>3842.8999999999996</v>
      </c>
      <c r="V24" s="68">
        <f t="shared" ref="V24:V26" si="18">TRUNC(S24*$F24,2)</f>
        <v>11672.38</v>
      </c>
      <c r="W24" s="68">
        <f t="shared" ref="W24:W26" si="19">TRUNC($H24*(1+$P24-$R$1),2)</f>
        <v>51.22</v>
      </c>
      <c r="X24" s="68">
        <f t="shared" ref="X24:X26" si="20">Y24-W24</f>
        <v>25.14</v>
      </c>
      <c r="Y24" s="68">
        <f t="shared" ref="Y24:Y26" si="21">TRUNC($G24*(1+$P24-$R$1),2)</f>
        <v>76.36</v>
      </c>
      <c r="Z24" s="68">
        <f t="shared" ref="Z24:Z26" si="22">TRUNC(W24*$F24,2)</f>
        <v>7829.48</v>
      </c>
      <c r="AA24" s="68">
        <f t="shared" ref="AA24:AA26" si="23">AB24-Z24</f>
        <v>3842.8999999999996</v>
      </c>
      <c r="AB24" s="68">
        <f t="shared" ref="AB24:AB26" si="24">TRUNC(Y24*$F24,2)</f>
        <v>11672.38</v>
      </c>
    </row>
    <row r="25" spans="1:28" ht="24" customHeight="1" x14ac:dyDescent="0.2">
      <c r="A25" s="7" t="s">
        <v>78</v>
      </c>
      <c r="B25" s="8" t="s">
        <v>79</v>
      </c>
      <c r="C25" s="7" t="s">
        <v>60</v>
      </c>
      <c r="D25" s="7" t="s">
        <v>80</v>
      </c>
      <c r="E25" s="9" t="s">
        <v>32</v>
      </c>
      <c r="F25" s="8">
        <v>411.4</v>
      </c>
      <c r="G25" s="54">
        <v>16.010000000000002</v>
      </c>
      <c r="H25" s="54">
        <v>8.73</v>
      </c>
      <c r="I25" s="54">
        <v>7.28</v>
      </c>
      <c r="J25" s="54">
        <f>TRUNC(G25 * (1 + 0 / 100), 2)</f>
        <v>16.010000000000002</v>
      </c>
      <c r="K25" s="54">
        <f>TRUNC(F25 * H25, 2)</f>
        <v>3591.52</v>
      </c>
      <c r="L25" s="54">
        <f>M25 - K25</f>
        <v>2994.9900000000002</v>
      </c>
      <c r="M25" s="54">
        <f>TRUNC(F25 * J25, 2)</f>
        <v>6586.51</v>
      </c>
      <c r="N25" s="10">
        <f t="shared" si="0"/>
        <v>2.5310909649923657E-3</v>
      </c>
      <c r="O25" s="71" t="s">
        <v>359</v>
      </c>
      <c r="P25" s="67">
        <f>IF(O25="BDI  PADRÃO",'BDI 2025'!$D$16,'BDI 2025'!$F$16)</f>
        <v>0.25130000000000002</v>
      </c>
      <c r="Q25" s="68">
        <f t="shared" si="13"/>
        <v>10.92</v>
      </c>
      <c r="R25" s="68">
        <f t="shared" si="14"/>
        <v>9.1100000000000012</v>
      </c>
      <c r="S25" s="68">
        <f t="shared" si="15"/>
        <v>20.03</v>
      </c>
      <c r="T25" s="68">
        <f t="shared" si="16"/>
        <v>4492.4799999999996</v>
      </c>
      <c r="U25" s="68">
        <f t="shared" si="17"/>
        <v>3747.8600000000006</v>
      </c>
      <c r="V25" s="68">
        <f t="shared" si="18"/>
        <v>8240.34</v>
      </c>
      <c r="W25" s="68">
        <f t="shared" si="19"/>
        <v>10.92</v>
      </c>
      <c r="X25" s="68">
        <f t="shared" si="20"/>
        <v>9.1100000000000012</v>
      </c>
      <c r="Y25" s="68">
        <f t="shared" si="21"/>
        <v>20.03</v>
      </c>
      <c r="Z25" s="68">
        <f t="shared" si="22"/>
        <v>4492.4799999999996</v>
      </c>
      <c r="AA25" s="68">
        <f t="shared" si="23"/>
        <v>3747.8600000000006</v>
      </c>
      <c r="AB25" s="68">
        <f t="shared" si="24"/>
        <v>8240.34</v>
      </c>
    </row>
    <row r="26" spans="1:28" ht="24" customHeight="1" x14ac:dyDescent="0.2">
      <c r="A26" s="7" t="s">
        <v>81</v>
      </c>
      <c r="B26" s="8" t="s">
        <v>82</v>
      </c>
      <c r="C26" s="7" t="s">
        <v>48</v>
      </c>
      <c r="D26" s="7" t="s">
        <v>83</v>
      </c>
      <c r="E26" s="9" t="s">
        <v>45</v>
      </c>
      <c r="F26" s="8">
        <v>41.95</v>
      </c>
      <c r="G26" s="54">
        <v>6.87</v>
      </c>
      <c r="H26" s="54">
        <v>4.5</v>
      </c>
      <c r="I26" s="54">
        <v>2.37</v>
      </c>
      <c r="J26" s="54">
        <f>TRUNC(G26 * (1 + 0 / 100), 2)</f>
        <v>6.87</v>
      </c>
      <c r="K26" s="54">
        <f>TRUNC(F26 * H26, 2)</f>
        <v>188.77</v>
      </c>
      <c r="L26" s="54">
        <f>M26 - K26</f>
        <v>99.419999999999987</v>
      </c>
      <c r="M26" s="54">
        <f>TRUNC(F26 * J26, 2)</f>
        <v>288.19</v>
      </c>
      <c r="N26" s="10">
        <f t="shared" si="0"/>
        <v>1.1074683029421496E-4</v>
      </c>
      <c r="O26" s="71" t="s">
        <v>359</v>
      </c>
      <c r="P26" s="67">
        <f>IF(O26="BDI  PADRÃO",'BDI 2025'!$D$16,'BDI 2025'!$F$16)</f>
        <v>0.25130000000000002</v>
      </c>
      <c r="Q26" s="68">
        <f t="shared" si="13"/>
        <v>5.63</v>
      </c>
      <c r="R26" s="68">
        <f t="shared" si="14"/>
        <v>2.96</v>
      </c>
      <c r="S26" s="68">
        <f t="shared" si="15"/>
        <v>8.59</v>
      </c>
      <c r="T26" s="68">
        <f t="shared" si="16"/>
        <v>236.17</v>
      </c>
      <c r="U26" s="68">
        <f t="shared" si="17"/>
        <v>124.18000000000004</v>
      </c>
      <c r="V26" s="68">
        <f t="shared" si="18"/>
        <v>360.35</v>
      </c>
      <c r="W26" s="68">
        <f t="shared" si="19"/>
        <v>5.63</v>
      </c>
      <c r="X26" s="68">
        <f t="shared" si="20"/>
        <v>2.96</v>
      </c>
      <c r="Y26" s="68">
        <f t="shared" si="21"/>
        <v>8.59</v>
      </c>
      <c r="Z26" s="68">
        <f t="shared" si="22"/>
        <v>236.17</v>
      </c>
      <c r="AA26" s="68">
        <f t="shared" si="23"/>
        <v>124.18000000000004</v>
      </c>
      <c r="AB26" s="68">
        <f t="shared" si="24"/>
        <v>360.35</v>
      </c>
    </row>
    <row r="27" spans="1:28" ht="24" customHeight="1" x14ac:dyDescent="0.2">
      <c r="A27" s="4" t="s">
        <v>84</v>
      </c>
      <c r="B27" s="4"/>
      <c r="C27" s="4"/>
      <c r="D27" s="4" t="s">
        <v>85</v>
      </c>
      <c r="E27" s="4"/>
      <c r="F27" s="5"/>
      <c r="G27" s="52"/>
      <c r="H27" s="52"/>
      <c r="I27" s="52"/>
      <c r="J27" s="52"/>
      <c r="K27" s="52"/>
      <c r="L27" s="52"/>
      <c r="M27" s="53">
        <v>554.73</v>
      </c>
      <c r="N27" s="6">
        <f t="shared" si="0"/>
        <v>2.1317391016034516E-4</v>
      </c>
      <c r="O27" s="69"/>
      <c r="P27" s="69"/>
      <c r="Q27" s="69"/>
      <c r="R27" s="69"/>
      <c r="S27" s="69"/>
      <c r="T27" s="69"/>
      <c r="U27" s="69"/>
      <c r="V27" s="70">
        <f>SUM(V28:V31)</f>
        <v>694.04000000000008</v>
      </c>
      <c r="W27" s="69"/>
      <c r="X27" s="69"/>
      <c r="Y27" s="69"/>
      <c r="Z27" s="69"/>
      <c r="AA27" s="69"/>
      <c r="AB27" s="70">
        <f>SUM(AB28:AB31)</f>
        <v>694.04000000000008</v>
      </c>
    </row>
    <row r="28" spans="1:28" ht="24" customHeight="1" x14ac:dyDescent="0.2">
      <c r="A28" s="7" t="s">
        <v>86</v>
      </c>
      <c r="B28" s="8" t="s">
        <v>87</v>
      </c>
      <c r="C28" s="7" t="s">
        <v>60</v>
      </c>
      <c r="D28" s="7" t="s">
        <v>88</v>
      </c>
      <c r="E28" s="9" t="s">
        <v>89</v>
      </c>
      <c r="F28" s="8">
        <v>2</v>
      </c>
      <c r="G28" s="54">
        <v>173.73</v>
      </c>
      <c r="H28" s="54">
        <v>122.05</v>
      </c>
      <c r="I28" s="54">
        <v>51.68</v>
      </c>
      <c r="J28" s="54">
        <f>TRUNC(G28 * (1 + 0 / 100), 2)</f>
        <v>173.73</v>
      </c>
      <c r="K28" s="54">
        <f>TRUNC(F28 * H28, 2)</f>
        <v>244.1</v>
      </c>
      <c r="L28" s="54">
        <f>M28 - K28</f>
        <v>103.35999999999999</v>
      </c>
      <c r="M28" s="54">
        <f>TRUNC(F28 * J28, 2)</f>
        <v>347.46</v>
      </c>
      <c r="N28" s="10">
        <f t="shared" si="0"/>
        <v>1.3352334797886092E-4</v>
      </c>
      <c r="O28" s="71" t="s">
        <v>359</v>
      </c>
      <c r="P28" s="67">
        <f>IF(O28="BDI  PADRÃO",'BDI 2025'!$D$16,'BDI 2025'!$F$16)</f>
        <v>0.25130000000000002</v>
      </c>
      <c r="Q28" s="68">
        <f t="shared" ref="Q28:Q31" si="25">TRUNC($H28*(1+$P28),2)</f>
        <v>152.72</v>
      </c>
      <c r="R28" s="68">
        <f t="shared" ref="R28:R31" si="26">S28-Q28</f>
        <v>64.66</v>
      </c>
      <c r="S28" s="68">
        <f t="shared" ref="S28:S31" si="27">TRUNC($G28*(1+$P28),2)</f>
        <v>217.38</v>
      </c>
      <c r="T28" s="68">
        <f t="shared" ref="T28:T31" si="28">TRUNC(Q28*$F28,2)</f>
        <v>305.44</v>
      </c>
      <c r="U28" s="68">
        <f t="shared" ref="U28:U31" si="29">V28-T28</f>
        <v>129.32</v>
      </c>
      <c r="V28" s="68">
        <f t="shared" ref="V28:V31" si="30">TRUNC(S28*$F28,2)</f>
        <v>434.76</v>
      </c>
      <c r="W28" s="68">
        <f t="shared" ref="W28:W31" si="31">TRUNC($H28*(1+$P28-$R$1),2)</f>
        <v>152.72</v>
      </c>
      <c r="X28" s="68">
        <f t="shared" ref="X28:X31" si="32">Y28-W28</f>
        <v>64.66</v>
      </c>
      <c r="Y28" s="68">
        <f t="shared" ref="Y28:Y31" si="33">TRUNC($G28*(1+$P28-$R$1),2)</f>
        <v>217.38</v>
      </c>
      <c r="Z28" s="68">
        <f t="shared" ref="Z28:Z31" si="34">TRUNC(W28*$F28,2)</f>
        <v>305.44</v>
      </c>
      <c r="AA28" s="68">
        <f t="shared" ref="AA28:AA31" si="35">AB28-Z28</f>
        <v>129.32</v>
      </c>
      <c r="AB28" s="68">
        <f t="shared" ref="AB28:AB31" si="36">TRUNC(Y28*$F28,2)</f>
        <v>434.76</v>
      </c>
    </row>
    <row r="29" spans="1:28" ht="24" customHeight="1" x14ac:dyDescent="0.2">
      <c r="A29" s="7" t="s">
        <v>90</v>
      </c>
      <c r="B29" s="8" t="s">
        <v>91</v>
      </c>
      <c r="C29" s="7" t="s">
        <v>48</v>
      </c>
      <c r="D29" s="7" t="s">
        <v>92</v>
      </c>
      <c r="E29" s="9" t="s">
        <v>65</v>
      </c>
      <c r="F29" s="8">
        <v>4</v>
      </c>
      <c r="G29" s="54">
        <v>26.25</v>
      </c>
      <c r="H29" s="54">
        <v>18.04</v>
      </c>
      <c r="I29" s="54">
        <v>8.2100000000000009</v>
      </c>
      <c r="J29" s="54">
        <f>TRUNC(G29 * (1 + 0 / 100), 2)</f>
        <v>26.25</v>
      </c>
      <c r="K29" s="54">
        <f>TRUNC(F29 * H29, 2)</f>
        <v>72.16</v>
      </c>
      <c r="L29" s="54">
        <f>M29 - K29</f>
        <v>32.840000000000003</v>
      </c>
      <c r="M29" s="54">
        <f>TRUNC(F29 * J29, 2)</f>
        <v>105</v>
      </c>
      <c r="N29" s="10">
        <f t="shared" si="0"/>
        <v>4.034982886600011E-5</v>
      </c>
      <c r="O29" s="71" t="s">
        <v>359</v>
      </c>
      <c r="P29" s="67">
        <f>IF(O29="BDI  PADRÃO",'BDI 2025'!$D$16,'BDI 2025'!$F$16)</f>
        <v>0.25130000000000002</v>
      </c>
      <c r="Q29" s="68">
        <f t="shared" si="25"/>
        <v>22.57</v>
      </c>
      <c r="R29" s="68">
        <f t="shared" si="26"/>
        <v>10.270000000000003</v>
      </c>
      <c r="S29" s="68">
        <f t="shared" si="27"/>
        <v>32.840000000000003</v>
      </c>
      <c r="T29" s="68">
        <f t="shared" si="28"/>
        <v>90.28</v>
      </c>
      <c r="U29" s="68">
        <f t="shared" si="29"/>
        <v>41.080000000000013</v>
      </c>
      <c r="V29" s="68">
        <f t="shared" si="30"/>
        <v>131.36000000000001</v>
      </c>
      <c r="W29" s="68">
        <f t="shared" si="31"/>
        <v>22.57</v>
      </c>
      <c r="X29" s="68">
        <f t="shared" si="32"/>
        <v>10.270000000000003</v>
      </c>
      <c r="Y29" s="68">
        <f t="shared" si="33"/>
        <v>32.840000000000003</v>
      </c>
      <c r="Z29" s="68">
        <f t="shared" si="34"/>
        <v>90.28</v>
      </c>
      <c r="AA29" s="68">
        <f t="shared" si="35"/>
        <v>41.080000000000013</v>
      </c>
      <c r="AB29" s="68">
        <f t="shared" si="36"/>
        <v>131.36000000000001</v>
      </c>
    </row>
    <row r="30" spans="1:28" ht="26.1" customHeight="1" x14ac:dyDescent="0.2">
      <c r="A30" s="7" t="s">
        <v>93</v>
      </c>
      <c r="B30" s="8" t="s">
        <v>94</v>
      </c>
      <c r="C30" s="7" t="s">
        <v>23</v>
      </c>
      <c r="D30" s="7" t="s">
        <v>95</v>
      </c>
      <c r="E30" s="9" t="s">
        <v>65</v>
      </c>
      <c r="F30" s="8">
        <v>4</v>
      </c>
      <c r="G30" s="54">
        <v>11.46</v>
      </c>
      <c r="H30" s="54">
        <v>7.81</v>
      </c>
      <c r="I30" s="54">
        <v>3.65</v>
      </c>
      <c r="J30" s="54">
        <f>TRUNC(G30 * (1 + 0 / 100), 2)</f>
        <v>11.46</v>
      </c>
      <c r="K30" s="54">
        <f>TRUNC(F30 * H30, 2)</f>
        <v>31.24</v>
      </c>
      <c r="L30" s="54">
        <f>M30 - K30</f>
        <v>14.600000000000005</v>
      </c>
      <c r="M30" s="54">
        <f>TRUNC(F30 * J30, 2)</f>
        <v>45.84</v>
      </c>
      <c r="N30" s="10">
        <f t="shared" si="0"/>
        <v>1.7615582430642333E-5</v>
      </c>
      <c r="O30" s="71" t="s">
        <v>359</v>
      </c>
      <c r="P30" s="67">
        <f>IF(O30="BDI  PADRÃO",'BDI 2025'!$D$16,'BDI 2025'!$F$16)</f>
        <v>0.25130000000000002</v>
      </c>
      <c r="Q30" s="68">
        <f t="shared" si="25"/>
        <v>9.77</v>
      </c>
      <c r="R30" s="68">
        <f t="shared" si="26"/>
        <v>4.5600000000000005</v>
      </c>
      <c r="S30" s="68">
        <f t="shared" si="27"/>
        <v>14.33</v>
      </c>
      <c r="T30" s="68">
        <f t="shared" si="28"/>
        <v>39.08</v>
      </c>
      <c r="U30" s="68">
        <f t="shared" si="29"/>
        <v>18.240000000000002</v>
      </c>
      <c r="V30" s="68">
        <f t="shared" si="30"/>
        <v>57.32</v>
      </c>
      <c r="W30" s="68">
        <f t="shared" si="31"/>
        <v>9.77</v>
      </c>
      <c r="X30" s="68">
        <f t="shared" si="32"/>
        <v>4.5600000000000005</v>
      </c>
      <c r="Y30" s="68">
        <f t="shared" si="33"/>
        <v>14.33</v>
      </c>
      <c r="Z30" s="68">
        <f t="shared" si="34"/>
        <v>39.08</v>
      </c>
      <c r="AA30" s="68">
        <f t="shared" si="35"/>
        <v>18.240000000000002</v>
      </c>
      <c r="AB30" s="68">
        <f t="shared" si="36"/>
        <v>57.32</v>
      </c>
    </row>
    <row r="31" spans="1:28" ht="26.1" customHeight="1" x14ac:dyDescent="0.2">
      <c r="A31" s="7" t="s">
        <v>96</v>
      </c>
      <c r="B31" s="8" t="s">
        <v>97</v>
      </c>
      <c r="C31" s="7" t="s">
        <v>23</v>
      </c>
      <c r="D31" s="7" t="s">
        <v>98</v>
      </c>
      <c r="E31" s="9" t="s">
        <v>99</v>
      </c>
      <c r="F31" s="8">
        <v>0.8</v>
      </c>
      <c r="G31" s="54">
        <v>70.540000000000006</v>
      </c>
      <c r="H31" s="54">
        <v>47.07</v>
      </c>
      <c r="I31" s="54">
        <v>23.47</v>
      </c>
      <c r="J31" s="54">
        <f>TRUNC(G31 * (1 + 0 / 100), 2)</f>
        <v>70.540000000000006</v>
      </c>
      <c r="K31" s="54">
        <f>TRUNC(F31 * H31, 2)</f>
        <v>37.65</v>
      </c>
      <c r="L31" s="54">
        <f>M31 - K31</f>
        <v>18.78</v>
      </c>
      <c r="M31" s="54">
        <f>TRUNC(F31 * J31, 2)</f>
        <v>56.43</v>
      </c>
      <c r="N31" s="10">
        <f t="shared" si="0"/>
        <v>2.1685150884841774E-5</v>
      </c>
      <c r="O31" s="71" t="s">
        <v>359</v>
      </c>
      <c r="P31" s="67">
        <f>IF(O31="BDI  PADRÃO",'BDI 2025'!$D$16,'BDI 2025'!$F$16)</f>
        <v>0.25130000000000002</v>
      </c>
      <c r="Q31" s="68">
        <f t="shared" si="25"/>
        <v>58.89</v>
      </c>
      <c r="R31" s="68">
        <f t="shared" si="26"/>
        <v>29.370000000000005</v>
      </c>
      <c r="S31" s="68">
        <f t="shared" si="27"/>
        <v>88.26</v>
      </c>
      <c r="T31" s="68">
        <f t="shared" si="28"/>
        <v>47.11</v>
      </c>
      <c r="U31" s="68">
        <f t="shared" si="29"/>
        <v>23.489999999999995</v>
      </c>
      <c r="V31" s="68">
        <f t="shared" si="30"/>
        <v>70.599999999999994</v>
      </c>
      <c r="W31" s="68">
        <f t="shared" si="31"/>
        <v>58.89</v>
      </c>
      <c r="X31" s="68">
        <f t="shared" si="32"/>
        <v>29.370000000000005</v>
      </c>
      <c r="Y31" s="68">
        <f t="shared" si="33"/>
        <v>88.26</v>
      </c>
      <c r="Z31" s="68">
        <f t="shared" si="34"/>
        <v>47.11</v>
      </c>
      <c r="AA31" s="68">
        <f t="shared" si="35"/>
        <v>23.489999999999995</v>
      </c>
      <c r="AB31" s="68">
        <f t="shared" si="36"/>
        <v>70.599999999999994</v>
      </c>
    </row>
    <row r="32" spans="1:28" ht="24" customHeight="1" x14ac:dyDescent="0.2">
      <c r="A32" s="4" t="s">
        <v>100</v>
      </c>
      <c r="B32" s="4"/>
      <c r="C32" s="4"/>
      <c r="D32" s="4" t="s">
        <v>101</v>
      </c>
      <c r="E32" s="4"/>
      <c r="F32" s="5"/>
      <c r="G32" s="52"/>
      <c r="H32" s="52"/>
      <c r="I32" s="52"/>
      <c r="J32" s="52"/>
      <c r="K32" s="52"/>
      <c r="L32" s="52"/>
      <c r="M32" s="53">
        <v>55332.959999999999</v>
      </c>
      <c r="N32" s="6">
        <f t="shared" si="0"/>
        <v>2.1263575872849803E-2</v>
      </c>
      <c r="O32" s="69"/>
      <c r="P32" s="69"/>
      <c r="Q32" s="69"/>
      <c r="R32" s="69"/>
      <c r="S32" s="69"/>
      <c r="T32" s="69"/>
      <c r="U32" s="69"/>
      <c r="V32" s="70">
        <f>SUM(V33,V35,V39,V41)</f>
        <v>69232.460000000006</v>
      </c>
      <c r="W32" s="69"/>
      <c r="X32" s="69"/>
      <c r="Y32" s="69"/>
      <c r="Z32" s="69"/>
      <c r="AA32" s="69"/>
      <c r="AB32" s="70">
        <f>SUM(AB33,AB35,AB39,AB41)</f>
        <v>69232.460000000006</v>
      </c>
    </row>
    <row r="33" spans="1:28" ht="24" customHeight="1" x14ac:dyDescent="0.2">
      <c r="A33" s="4" t="s">
        <v>102</v>
      </c>
      <c r="B33" s="4"/>
      <c r="C33" s="4"/>
      <c r="D33" s="4" t="s">
        <v>103</v>
      </c>
      <c r="E33" s="4"/>
      <c r="F33" s="5"/>
      <c r="G33" s="52"/>
      <c r="H33" s="52"/>
      <c r="I33" s="52"/>
      <c r="J33" s="52"/>
      <c r="K33" s="52"/>
      <c r="L33" s="52"/>
      <c r="M33" s="53">
        <v>218.38</v>
      </c>
      <c r="N33" s="6">
        <f t="shared" si="0"/>
        <v>8.3919958359591468E-5</v>
      </c>
      <c r="O33" s="69"/>
      <c r="P33" s="69"/>
      <c r="Q33" s="69"/>
      <c r="R33" s="69"/>
      <c r="S33" s="69"/>
      <c r="T33" s="69"/>
      <c r="U33" s="69"/>
      <c r="V33" s="70">
        <f>SUM(V34)</f>
        <v>273.26</v>
      </c>
      <c r="W33" s="69"/>
      <c r="X33" s="69"/>
      <c r="Y33" s="69"/>
      <c r="Z33" s="69"/>
      <c r="AA33" s="69"/>
      <c r="AB33" s="70">
        <f>SUM(AB34)</f>
        <v>273.26</v>
      </c>
    </row>
    <row r="34" spans="1:28" ht="26.1" customHeight="1" x14ac:dyDescent="0.2">
      <c r="A34" s="7" t="s">
        <v>104</v>
      </c>
      <c r="B34" s="8" t="s">
        <v>105</v>
      </c>
      <c r="C34" s="7" t="s">
        <v>48</v>
      </c>
      <c r="D34" s="7" t="s">
        <v>106</v>
      </c>
      <c r="E34" s="9" t="s">
        <v>99</v>
      </c>
      <c r="F34" s="8">
        <v>0.92</v>
      </c>
      <c r="G34" s="54">
        <v>237.38</v>
      </c>
      <c r="H34" s="54">
        <v>193.15</v>
      </c>
      <c r="I34" s="54">
        <v>44.23</v>
      </c>
      <c r="J34" s="54">
        <f>TRUNC(G34 * (1 + 0 / 100), 2)</f>
        <v>237.38</v>
      </c>
      <c r="K34" s="54">
        <f>TRUNC(F34 * H34, 2)</f>
        <v>177.69</v>
      </c>
      <c r="L34" s="54">
        <f>M34 - K34</f>
        <v>40.69</v>
      </c>
      <c r="M34" s="54">
        <f>TRUNC(F34 * J34, 2)</f>
        <v>218.38</v>
      </c>
      <c r="N34" s="10">
        <f t="shared" si="0"/>
        <v>8.3919958359591468E-5</v>
      </c>
      <c r="O34" s="71" t="s">
        <v>359</v>
      </c>
      <c r="P34" s="67">
        <f>IF(O34="BDI  PADRÃO",'BDI 2025'!$D$16,'BDI 2025'!$F$16)</f>
        <v>0.25130000000000002</v>
      </c>
      <c r="Q34" s="68">
        <f>TRUNC($H34*(1+$P34),2)</f>
        <v>241.68</v>
      </c>
      <c r="R34" s="68">
        <f>S34-Q34</f>
        <v>55.349999999999966</v>
      </c>
      <c r="S34" s="68">
        <f>TRUNC($G34*(1+$P34),2)</f>
        <v>297.02999999999997</v>
      </c>
      <c r="T34" s="68">
        <f>TRUNC(Q34*$F34,2)</f>
        <v>222.34</v>
      </c>
      <c r="U34" s="68">
        <f>V34-T34</f>
        <v>50.919999999999987</v>
      </c>
      <c r="V34" s="68">
        <f>TRUNC(S34*$F34,2)</f>
        <v>273.26</v>
      </c>
      <c r="W34" s="68">
        <f>TRUNC($H34*(1+$P34-$R$1),2)</f>
        <v>241.68</v>
      </c>
      <c r="X34" s="68">
        <f>Y34-W34</f>
        <v>55.349999999999966</v>
      </c>
      <c r="Y34" s="68">
        <f>TRUNC($G34*(1+$P34-$R$1),2)</f>
        <v>297.02999999999997</v>
      </c>
      <c r="Z34" s="68">
        <f>TRUNC(W34*$F34,2)</f>
        <v>222.34</v>
      </c>
      <c r="AA34" s="68">
        <f>AB34-Z34</f>
        <v>50.919999999999987</v>
      </c>
      <c r="AB34" s="68">
        <f>TRUNC(Y34*$F34,2)</f>
        <v>273.26</v>
      </c>
    </row>
    <row r="35" spans="1:28" ht="24" customHeight="1" x14ac:dyDescent="0.2">
      <c r="A35" s="4" t="s">
        <v>107</v>
      </c>
      <c r="B35" s="4"/>
      <c r="C35" s="4"/>
      <c r="D35" s="4" t="s">
        <v>108</v>
      </c>
      <c r="E35" s="4"/>
      <c r="F35" s="5"/>
      <c r="G35" s="52"/>
      <c r="H35" s="52"/>
      <c r="I35" s="52"/>
      <c r="J35" s="52"/>
      <c r="K35" s="52"/>
      <c r="L35" s="52"/>
      <c r="M35" s="53">
        <v>42255.9</v>
      </c>
      <c r="N35" s="6">
        <f t="shared" si="0"/>
        <v>1.6238269843607753E-2</v>
      </c>
      <c r="O35" s="69"/>
      <c r="P35" s="69"/>
      <c r="Q35" s="69"/>
      <c r="R35" s="69"/>
      <c r="S35" s="69"/>
      <c r="T35" s="69"/>
      <c r="U35" s="69"/>
      <c r="V35" s="70">
        <f>SUM(V36:V38)</f>
        <v>52869.72</v>
      </c>
      <c r="W35" s="69"/>
      <c r="X35" s="69"/>
      <c r="Y35" s="69"/>
      <c r="Z35" s="69"/>
      <c r="AA35" s="69"/>
      <c r="AB35" s="70">
        <f>SUM(AB36:AB38)</f>
        <v>52869.72</v>
      </c>
    </row>
    <row r="36" spans="1:28" ht="24" customHeight="1" x14ac:dyDescent="0.2">
      <c r="A36" s="7" t="s">
        <v>109</v>
      </c>
      <c r="B36" s="8" t="s">
        <v>79</v>
      </c>
      <c r="C36" s="7" t="s">
        <v>60</v>
      </c>
      <c r="D36" s="7" t="s">
        <v>80</v>
      </c>
      <c r="E36" s="9" t="s">
        <v>32</v>
      </c>
      <c r="F36" s="8">
        <v>293.29000000000002</v>
      </c>
      <c r="G36" s="54">
        <v>16.010000000000002</v>
      </c>
      <c r="H36" s="54">
        <v>8.73</v>
      </c>
      <c r="I36" s="54">
        <v>7.28</v>
      </c>
      <c r="J36" s="54">
        <f>TRUNC(G36 * (1 + 0 / 100), 2)</f>
        <v>16.010000000000002</v>
      </c>
      <c r="K36" s="54">
        <f>TRUNC(F36 * H36, 2)</f>
        <v>2560.42</v>
      </c>
      <c r="L36" s="54">
        <f>M36 - K36</f>
        <v>2135.1499999999996</v>
      </c>
      <c r="M36" s="54">
        <f>TRUNC(F36 * J36, 2)</f>
        <v>4695.57</v>
      </c>
      <c r="N36" s="10">
        <f t="shared" si="0"/>
        <v>1.8044328183649916E-3</v>
      </c>
      <c r="O36" s="71" t="s">
        <v>359</v>
      </c>
      <c r="P36" s="67">
        <f>IF(O36="BDI  PADRÃO",'BDI 2025'!$D$16,'BDI 2025'!$F$16)</f>
        <v>0.25130000000000002</v>
      </c>
      <c r="Q36" s="68">
        <f t="shared" ref="Q36:Q38" si="37">TRUNC($H36*(1+$P36),2)</f>
        <v>10.92</v>
      </c>
      <c r="R36" s="68">
        <f t="shared" ref="R36:R38" si="38">S36-Q36</f>
        <v>9.1100000000000012</v>
      </c>
      <c r="S36" s="68">
        <f t="shared" ref="S36:S38" si="39">TRUNC($G36*(1+$P36),2)</f>
        <v>20.03</v>
      </c>
      <c r="T36" s="68">
        <f t="shared" ref="T36:T38" si="40">TRUNC(Q36*$F36,2)</f>
        <v>3202.72</v>
      </c>
      <c r="U36" s="68">
        <f t="shared" ref="U36:U38" si="41">V36-T36</f>
        <v>2671.8700000000003</v>
      </c>
      <c r="V36" s="68">
        <f t="shared" ref="V36:V38" si="42">TRUNC(S36*$F36,2)</f>
        <v>5874.59</v>
      </c>
      <c r="W36" s="68">
        <f t="shared" ref="W36:W38" si="43">TRUNC($H36*(1+$P36-$R$1),2)</f>
        <v>10.92</v>
      </c>
      <c r="X36" s="68">
        <f t="shared" ref="X36:X38" si="44">Y36-W36</f>
        <v>9.1100000000000012</v>
      </c>
      <c r="Y36" s="68">
        <f t="shared" ref="Y36:Y38" si="45">TRUNC($G36*(1+$P36-$R$1),2)</f>
        <v>20.03</v>
      </c>
      <c r="Z36" s="68">
        <f t="shared" ref="Z36:Z38" si="46">TRUNC(W36*$F36,2)</f>
        <v>3202.72</v>
      </c>
      <c r="AA36" s="68">
        <f t="shared" ref="AA36:AA38" si="47">AB36-Z36</f>
        <v>2671.8700000000003</v>
      </c>
      <c r="AB36" s="68">
        <f t="shared" ref="AB36:AB38" si="48">TRUNC(Y36*$F36,2)</f>
        <v>5874.59</v>
      </c>
    </row>
    <row r="37" spans="1:28" ht="26.1" customHeight="1" x14ac:dyDescent="0.2">
      <c r="A37" s="7" t="s">
        <v>110</v>
      </c>
      <c r="B37" s="8" t="s">
        <v>71</v>
      </c>
      <c r="C37" s="7" t="s">
        <v>60</v>
      </c>
      <c r="D37" s="7" t="s">
        <v>72</v>
      </c>
      <c r="E37" s="9" t="s">
        <v>32</v>
      </c>
      <c r="F37" s="8">
        <v>189.38</v>
      </c>
      <c r="G37" s="54">
        <v>10.66</v>
      </c>
      <c r="H37" s="54">
        <v>6.98</v>
      </c>
      <c r="I37" s="54">
        <v>3.68</v>
      </c>
      <c r="J37" s="54">
        <f>TRUNC(G37 * (1 + 0 / 100), 2)</f>
        <v>10.66</v>
      </c>
      <c r="K37" s="54">
        <f>TRUNC(F37 * H37, 2)</f>
        <v>1321.87</v>
      </c>
      <c r="L37" s="54">
        <f>M37 - K37</f>
        <v>696.92000000000007</v>
      </c>
      <c r="M37" s="54">
        <f>TRUNC(F37 * J37, 2)</f>
        <v>2018.79</v>
      </c>
      <c r="N37" s="10">
        <f t="shared" si="0"/>
        <v>7.7578886682278436E-4</v>
      </c>
      <c r="O37" s="71" t="s">
        <v>359</v>
      </c>
      <c r="P37" s="67">
        <f>IF(O37="BDI  PADRÃO",'BDI 2025'!$D$16,'BDI 2025'!$F$16)</f>
        <v>0.25130000000000002</v>
      </c>
      <c r="Q37" s="68">
        <f t="shared" si="37"/>
        <v>8.73</v>
      </c>
      <c r="R37" s="68">
        <f t="shared" si="38"/>
        <v>4.5999999999999996</v>
      </c>
      <c r="S37" s="68">
        <f t="shared" si="39"/>
        <v>13.33</v>
      </c>
      <c r="T37" s="68">
        <f t="shared" si="40"/>
        <v>1653.28</v>
      </c>
      <c r="U37" s="68">
        <f t="shared" si="41"/>
        <v>871.14999999999986</v>
      </c>
      <c r="V37" s="68">
        <f t="shared" si="42"/>
        <v>2524.4299999999998</v>
      </c>
      <c r="W37" s="68">
        <f t="shared" si="43"/>
        <v>8.73</v>
      </c>
      <c r="X37" s="68">
        <f t="shared" si="44"/>
        <v>4.5999999999999996</v>
      </c>
      <c r="Y37" s="68">
        <f t="shared" si="45"/>
        <v>13.33</v>
      </c>
      <c r="Z37" s="68">
        <f t="shared" si="46"/>
        <v>1653.28</v>
      </c>
      <c r="AA37" s="68">
        <f t="shared" si="47"/>
        <v>871.14999999999986</v>
      </c>
      <c r="AB37" s="68">
        <f t="shared" si="48"/>
        <v>2524.4299999999998</v>
      </c>
    </row>
    <row r="38" spans="1:28" ht="26.1" customHeight="1" x14ac:dyDescent="0.2">
      <c r="A38" s="7" t="s">
        <v>111</v>
      </c>
      <c r="B38" s="8" t="s">
        <v>112</v>
      </c>
      <c r="C38" s="7" t="s">
        <v>60</v>
      </c>
      <c r="D38" s="7" t="s">
        <v>113</v>
      </c>
      <c r="E38" s="9" t="s">
        <v>32</v>
      </c>
      <c r="F38" s="8">
        <v>1591.65</v>
      </c>
      <c r="G38" s="54">
        <v>22.33</v>
      </c>
      <c r="H38" s="54">
        <v>14.73</v>
      </c>
      <c r="I38" s="54">
        <v>7.6</v>
      </c>
      <c r="J38" s="54">
        <f>TRUNC(G38 * (1 + 0 / 100), 2)</f>
        <v>22.33</v>
      </c>
      <c r="K38" s="54">
        <f>TRUNC(F38 * H38, 2)</f>
        <v>23445</v>
      </c>
      <c r="L38" s="54">
        <f>M38 - K38</f>
        <v>12096.54</v>
      </c>
      <c r="M38" s="54">
        <f>TRUNC(F38 * J38, 2)</f>
        <v>35541.54</v>
      </c>
      <c r="N38" s="10">
        <f t="shared" si="0"/>
        <v>1.3658048158419976E-2</v>
      </c>
      <c r="O38" s="71" t="s">
        <v>359</v>
      </c>
      <c r="P38" s="67">
        <f>IF(O38="BDI  PADRÃO",'BDI 2025'!$D$16,'BDI 2025'!$F$16)</f>
        <v>0.25130000000000002</v>
      </c>
      <c r="Q38" s="68">
        <f t="shared" si="37"/>
        <v>18.43</v>
      </c>
      <c r="R38" s="68">
        <f t="shared" si="38"/>
        <v>9.5100000000000016</v>
      </c>
      <c r="S38" s="68">
        <f t="shared" si="39"/>
        <v>27.94</v>
      </c>
      <c r="T38" s="68">
        <f t="shared" si="40"/>
        <v>29334.1</v>
      </c>
      <c r="U38" s="68">
        <f t="shared" si="41"/>
        <v>15136.599999999999</v>
      </c>
      <c r="V38" s="68">
        <f t="shared" si="42"/>
        <v>44470.7</v>
      </c>
      <c r="W38" s="68">
        <f t="shared" si="43"/>
        <v>18.43</v>
      </c>
      <c r="X38" s="68">
        <f t="shared" si="44"/>
        <v>9.5100000000000016</v>
      </c>
      <c r="Y38" s="68">
        <f t="shared" si="45"/>
        <v>27.94</v>
      </c>
      <c r="Z38" s="68">
        <f t="shared" si="46"/>
        <v>29334.1</v>
      </c>
      <c r="AA38" s="68">
        <f t="shared" si="47"/>
        <v>15136.599999999999</v>
      </c>
      <c r="AB38" s="68">
        <f t="shared" si="48"/>
        <v>44470.7</v>
      </c>
    </row>
    <row r="39" spans="1:28" ht="24" customHeight="1" x14ac:dyDescent="0.2">
      <c r="A39" s="4" t="s">
        <v>114</v>
      </c>
      <c r="B39" s="4"/>
      <c r="C39" s="4"/>
      <c r="D39" s="4" t="s">
        <v>115</v>
      </c>
      <c r="E39" s="4"/>
      <c r="F39" s="5"/>
      <c r="G39" s="52"/>
      <c r="H39" s="52"/>
      <c r="I39" s="52"/>
      <c r="J39" s="52"/>
      <c r="K39" s="52"/>
      <c r="L39" s="52"/>
      <c r="M39" s="53">
        <v>6698.7</v>
      </c>
      <c r="N39" s="6">
        <f t="shared" si="0"/>
        <v>2.5742037964254757E-3</v>
      </c>
      <c r="O39" s="69"/>
      <c r="P39" s="69"/>
      <c r="Q39" s="69"/>
      <c r="R39" s="69"/>
      <c r="S39" s="69"/>
      <c r="T39" s="69"/>
      <c r="U39" s="69"/>
      <c r="V39" s="70">
        <f>SUM(V40)</f>
        <v>8381.8799999999992</v>
      </c>
      <c r="W39" s="69"/>
      <c r="X39" s="69"/>
      <c r="Y39" s="69"/>
      <c r="Z39" s="69"/>
      <c r="AA39" s="69"/>
      <c r="AB39" s="70">
        <f>SUM(AB40)</f>
        <v>8381.8799999999992</v>
      </c>
    </row>
    <row r="40" spans="1:28" ht="39" customHeight="1" x14ac:dyDescent="0.2">
      <c r="A40" s="7" t="s">
        <v>116</v>
      </c>
      <c r="B40" s="8" t="s">
        <v>117</v>
      </c>
      <c r="C40" s="7" t="s">
        <v>23</v>
      </c>
      <c r="D40" s="7" t="s">
        <v>118</v>
      </c>
      <c r="E40" s="9" t="s">
        <v>99</v>
      </c>
      <c r="F40" s="8">
        <v>54</v>
      </c>
      <c r="G40" s="54">
        <v>124.05</v>
      </c>
      <c r="H40" s="54">
        <v>52.31</v>
      </c>
      <c r="I40" s="54">
        <v>71.739999999999995</v>
      </c>
      <c r="J40" s="54">
        <f>TRUNC(G40 * (1 + 0 / 100), 2)</f>
        <v>124.05</v>
      </c>
      <c r="K40" s="54">
        <f>TRUNC(F40 * H40, 2)</f>
        <v>2824.74</v>
      </c>
      <c r="L40" s="54">
        <f>M40 - K40</f>
        <v>3873.96</v>
      </c>
      <c r="M40" s="54">
        <f>TRUNC(F40 * J40, 2)</f>
        <v>6698.7</v>
      </c>
      <c r="N40" s="10">
        <f t="shared" si="0"/>
        <v>2.5742037964254757E-3</v>
      </c>
      <c r="O40" s="71" t="s">
        <v>359</v>
      </c>
      <c r="P40" s="67">
        <f>IF(O40="BDI  PADRÃO",'BDI 2025'!$D$16,'BDI 2025'!$F$16)</f>
        <v>0.25130000000000002</v>
      </c>
      <c r="Q40" s="68">
        <f>TRUNC($H40*(1+$P40),2)</f>
        <v>65.45</v>
      </c>
      <c r="R40" s="68">
        <f>S40-Q40</f>
        <v>89.77</v>
      </c>
      <c r="S40" s="68">
        <f>TRUNC($G40*(1+$P40),2)</f>
        <v>155.22</v>
      </c>
      <c r="T40" s="68">
        <f>TRUNC(Q40*$F40,2)</f>
        <v>3534.3</v>
      </c>
      <c r="U40" s="68">
        <f>V40-T40</f>
        <v>4847.579999999999</v>
      </c>
      <c r="V40" s="68">
        <f>TRUNC(S40*$F40,2)</f>
        <v>8381.8799999999992</v>
      </c>
      <c r="W40" s="68">
        <f>TRUNC($H40*(1+$P40-$R$1),2)</f>
        <v>65.45</v>
      </c>
      <c r="X40" s="68">
        <f>Y40-W40</f>
        <v>89.77</v>
      </c>
      <c r="Y40" s="68">
        <f>TRUNC($G40*(1+$P40-$R$1),2)</f>
        <v>155.22</v>
      </c>
      <c r="Z40" s="68">
        <f>TRUNC(W40*$F40,2)</f>
        <v>3534.3</v>
      </c>
      <c r="AA40" s="68">
        <f>AB40-Z40</f>
        <v>4847.579999999999</v>
      </c>
      <c r="AB40" s="68">
        <f>TRUNC(Y40*$F40,2)</f>
        <v>8381.8799999999992</v>
      </c>
    </row>
    <row r="41" spans="1:28" ht="24" customHeight="1" x14ac:dyDescent="0.2">
      <c r="A41" s="4" t="s">
        <v>119</v>
      </c>
      <c r="B41" s="4"/>
      <c r="C41" s="4"/>
      <c r="D41" s="4" t="s">
        <v>120</v>
      </c>
      <c r="E41" s="4"/>
      <c r="F41" s="5"/>
      <c r="G41" s="52"/>
      <c r="H41" s="52"/>
      <c r="I41" s="52"/>
      <c r="J41" s="52"/>
      <c r="K41" s="52"/>
      <c r="L41" s="52"/>
      <c r="M41" s="53">
        <v>6159.98</v>
      </c>
      <c r="N41" s="6">
        <f t="shared" si="0"/>
        <v>2.3671822744569843E-3</v>
      </c>
      <c r="O41" s="69"/>
      <c r="P41" s="69"/>
      <c r="Q41" s="69"/>
      <c r="R41" s="69"/>
      <c r="S41" s="69"/>
      <c r="T41" s="69"/>
      <c r="U41" s="69"/>
      <c r="V41" s="70">
        <f>SUM(V42:V44)</f>
        <v>7707.6</v>
      </c>
      <c r="W41" s="69"/>
      <c r="X41" s="69"/>
      <c r="Y41" s="69"/>
      <c r="Z41" s="69"/>
      <c r="AA41" s="69"/>
      <c r="AB41" s="70">
        <f>SUM(AB42:AB44)</f>
        <v>7707.6</v>
      </c>
    </row>
    <row r="42" spans="1:28" ht="26.1" customHeight="1" x14ac:dyDescent="0.2">
      <c r="A42" s="7" t="s">
        <v>121</v>
      </c>
      <c r="B42" s="8" t="s">
        <v>122</v>
      </c>
      <c r="C42" s="7" t="s">
        <v>60</v>
      </c>
      <c r="D42" s="7" t="s">
        <v>123</v>
      </c>
      <c r="E42" s="9" t="s">
        <v>32</v>
      </c>
      <c r="F42" s="8">
        <v>292.73</v>
      </c>
      <c r="G42" s="54">
        <v>14.01</v>
      </c>
      <c r="H42" s="54">
        <v>9.42</v>
      </c>
      <c r="I42" s="54">
        <v>4.59</v>
      </c>
      <c r="J42" s="54">
        <f>TRUNC(G42 * (1 + 0 / 100), 2)</f>
        <v>14.01</v>
      </c>
      <c r="K42" s="54">
        <f>TRUNC(F42 * H42, 2)</f>
        <v>2757.51</v>
      </c>
      <c r="L42" s="54">
        <f>M42 - K42</f>
        <v>1343.63</v>
      </c>
      <c r="M42" s="54">
        <f>TRUNC(F42 * J42, 2)</f>
        <v>4101.1400000000003</v>
      </c>
      <c r="N42" s="10">
        <f t="shared" si="0"/>
        <v>1.5760028300524542E-3</v>
      </c>
      <c r="O42" s="71" t="s">
        <v>359</v>
      </c>
      <c r="P42" s="67">
        <f>IF(O42="BDI  PADRÃO",'BDI 2025'!$D$16,'BDI 2025'!$F$16)</f>
        <v>0.25130000000000002</v>
      </c>
      <c r="Q42" s="68">
        <f t="shared" ref="Q42:Q44" si="49">TRUNC($H42*(1+$P42),2)</f>
        <v>11.78</v>
      </c>
      <c r="R42" s="68">
        <f t="shared" ref="R42:R44" si="50">S42-Q42</f>
        <v>5.7500000000000018</v>
      </c>
      <c r="S42" s="68">
        <f t="shared" ref="S42:S44" si="51">TRUNC($G42*(1+$P42),2)</f>
        <v>17.53</v>
      </c>
      <c r="T42" s="68">
        <f t="shared" ref="T42:T44" si="52">TRUNC(Q42*$F42,2)</f>
        <v>3448.35</v>
      </c>
      <c r="U42" s="68">
        <f t="shared" ref="U42:U44" si="53">V42-T42</f>
        <v>1683.2000000000003</v>
      </c>
      <c r="V42" s="68">
        <f t="shared" ref="V42:V44" si="54">TRUNC(S42*$F42,2)</f>
        <v>5131.55</v>
      </c>
      <c r="W42" s="68">
        <f t="shared" ref="W42:W44" si="55">TRUNC($H42*(1+$P42-$R$1),2)</f>
        <v>11.78</v>
      </c>
      <c r="X42" s="68">
        <f t="shared" ref="X42:X44" si="56">Y42-W42</f>
        <v>5.7500000000000018</v>
      </c>
      <c r="Y42" s="68">
        <f t="shared" ref="Y42:Y44" si="57">TRUNC($G42*(1+$P42-$R$1),2)</f>
        <v>17.53</v>
      </c>
      <c r="Z42" s="68">
        <f t="shared" ref="Z42:Z44" si="58">TRUNC(W42*$F42,2)</f>
        <v>3448.35</v>
      </c>
      <c r="AA42" s="68">
        <f t="shared" ref="AA42:AA44" si="59">AB42-Z42</f>
        <v>1683.2000000000003</v>
      </c>
      <c r="AB42" s="68">
        <f t="shared" ref="AB42:AB44" si="60">TRUNC(Y42*$F42,2)</f>
        <v>5131.55</v>
      </c>
    </row>
    <row r="43" spans="1:28" ht="24" customHeight="1" x14ac:dyDescent="0.2">
      <c r="A43" s="7" t="s">
        <v>124</v>
      </c>
      <c r="B43" s="8" t="s">
        <v>125</v>
      </c>
      <c r="C43" s="7" t="s">
        <v>60</v>
      </c>
      <c r="D43" s="7" t="s">
        <v>126</v>
      </c>
      <c r="E43" s="9" t="s">
        <v>32</v>
      </c>
      <c r="F43" s="8">
        <v>199.4</v>
      </c>
      <c r="G43" s="54">
        <v>10.31</v>
      </c>
      <c r="H43" s="54">
        <v>7</v>
      </c>
      <c r="I43" s="54">
        <v>3.31</v>
      </c>
      <c r="J43" s="54">
        <f>TRUNC(G43 * (1 + 0 / 100), 2)</f>
        <v>10.31</v>
      </c>
      <c r="K43" s="54">
        <f>TRUNC(F43 * H43, 2)</f>
        <v>1395.8</v>
      </c>
      <c r="L43" s="54">
        <f>M43 - K43</f>
        <v>660.01</v>
      </c>
      <c r="M43" s="54">
        <f>TRUNC(F43 * J43, 2)</f>
        <v>2055.81</v>
      </c>
      <c r="N43" s="10">
        <f t="shared" si="0"/>
        <v>7.9001506362868265E-4</v>
      </c>
      <c r="O43" s="71" t="s">
        <v>359</v>
      </c>
      <c r="P43" s="67">
        <f>IF(O43="BDI  PADRÃO",'BDI 2025'!$D$16,'BDI 2025'!$F$16)</f>
        <v>0.25130000000000002</v>
      </c>
      <c r="Q43" s="68">
        <f t="shared" si="49"/>
        <v>8.75</v>
      </c>
      <c r="R43" s="68">
        <f t="shared" si="50"/>
        <v>4.1500000000000004</v>
      </c>
      <c r="S43" s="68">
        <f t="shared" si="51"/>
        <v>12.9</v>
      </c>
      <c r="T43" s="68">
        <f t="shared" si="52"/>
        <v>1744.75</v>
      </c>
      <c r="U43" s="68">
        <f t="shared" si="53"/>
        <v>827.51000000000022</v>
      </c>
      <c r="V43" s="68">
        <f t="shared" si="54"/>
        <v>2572.2600000000002</v>
      </c>
      <c r="W43" s="68">
        <f t="shared" si="55"/>
        <v>8.75</v>
      </c>
      <c r="X43" s="68">
        <f t="shared" si="56"/>
        <v>4.1500000000000004</v>
      </c>
      <c r="Y43" s="68">
        <f t="shared" si="57"/>
        <v>12.9</v>
      </c>
      <c r="Z43" s="68">
        <f t="shared" si="58"/>
        <v>1744.75</v>
      </c>
      <c r="AA43" s="68">
        <f t="shared" si="59"/>
        <v>827.51000000000022</v>
      </c>
      <c r="AB43" s="68">
        <f t="shared" si="60"/>
        <v>2572.2600000000002</v>
      </c>
    </row>
    <row r="44" spans="1:28" ht="39" customHeight="1" x14ac:dyDescent="0.2">
      <c r="A44" s="7" t="s">
        <v>127</v>
      </c>
      <c r="B44" s="8" t="s">
        <v>128</v>
      </c>
      <c r="C44" s="7" t="s">
        <v>23</v>
      </c>
      <c r="D44" s="7" t="s">
        <v>129</v>
      </c>
      <c r="E44" s="9" t="s">
        <v>99</v>
      </c>
      <c r="F44" s="8">
        <v>5.0999999999999997E-2</v>
      </c>
      <c r="G44" s="54">
        <v>59.45</v>
      </c>
      <c r="H44" s="54">
        <v>9.01</v>
      </c>
      <c r="I44" s="54">
        <v>50.44</v>
      </c>
      <c r="J44" s="54">
        <f>TRUNC(G44 * (1 + 0 / 100), 2)</f>
        <v>59.45</v>
      </c>
      <c r="K44" s="54">
        <f>TRUNC(F44 * H44, 2)</f>
        <v>0.45</v>
      </c>
      <c r="L44" s="54">
        <f>M44 - K44</f>
        <v>2.5799999999999996</v>
      </c>
      <c r="M44" s="54">
        <f>TRUNC(F44 * J44, 2)</f>
        <v>3.03</v>
      </c>
      <c r="N44" s="10">
        <f t="shared" si="0"/>
        <v>1.1643807758474315E-6</v>
      </c>
      <c r="O44" s="71" t="s">
        <v>359</v>
      </c>
      <c r="P44" s="67">
        <f>IF(O44="BDI  PADRÃO",'BDI 2025'!$D$16,'BDI 2025'!$F$16)</f>
        <v>0.25130000000000002</v>
      </c>
      <c r="Q44" s="68">
        <f t="shared" si="49"/>
        <v>11.27</v>
      </c>
      <c r="R44" s="68">
        <f t="shared" si="50"/>
        <v>63.11</v>
      </c>
      <c r="S44" s="68">
        <f t="shared" si="51"/>
        <v>74.38</v>
      </c>
      <c r="T44" s="68">
        <f t="shared" si="52"/>
        <v>0.56999999999999995</v>
      </c>
      <c r="U44" s="68">
        <f t="shared" si="53"/>
        <v>3.22</v>
      </c>
      <c r="V44" s="68">
        <f t="shared" si="54"/>
        <v>3.79</v>
      </c>
      <c r="W44" s="68">
        <f t="shared" si="55"/>
        <v>11.27</v>
      </c>
      <c r="X44" s="68">
        <f t="shared" si="56"/>
        <v>63.11</v>
      </c>
      <c r="Y44" s="68">
        <f t="shared" si="57"/>
        <v>74.38</v>
      </c>
      <c r="Z44" s="68">
        <f t="shared" si="58"/>
        <v>0.56999999999999995</v>
      </c>
      <c r="AA44" s="68">
        <f t="shared" si="59"/>
        <v>3.22</v>
      </c>
      <c r="AB44" s="68">
        <f t="shared" si="60"/>
        <v>3.79</v>
      </c>
    </row>
    <row r="45" spans="1:28" ht="24" customHeight="1" x14ac:dyDescent="0.2">
      <c r="A45" s="4" t="s">
        <v>130</v>
      </c>
      <c r="B45" s="4"/>
      <c r="C45" s="4"/>
      <c r="D45" s="4" t="s">
        <v>131</v>
      </c>
      <c r="E45" s="4"/>
      <c r="F45" s="5"/>
      <c r="G45" s="52"/>
      <c r="H45" s="52"/>
      <c r="I45" s="52"/>
      <c r="J45" s="52"/>
      <c r="K45" s="52"/>
      <c r="L45" s="52"/>
      <c r="M45" s="53">
        <v>2307106.71</v>
      </c>
      <c r="N45" s="6">
        <f t="shared" si="0"/>
        <v>0.88658438975333853</v>
      </c>
      <c r="O45" s="69"/>
      <c r="P45" s="69"/>
      <c r="Q45" s="69"/>
      <c r="R45" s="69"/>
      <c r="S45" s="69"/>
      <c r="T45" s="69"/>
      <c r="U45" s="69"/>
      <c r="V45" s="70">
        <f>SUM(V46,V82,V119)</f>
        <v>2880579.46</v>
      </c>
      <c r="W45" s="69"/>
      <c r="X45" s="69"/>
      <c r="Y45" s="69"/>
      <c r="Z45" s="69"/>
      <c r="AA45" s="69"/>
      <c r="AB45" s="70">
        <f>SUM(AB46,AB82,AB119)</f>
        <v>2880579.46</v>
      </c>
    </row>
    <row r="46" spans="1:28" ht="24" customHeight="1" x14ac:dyDescent="0.2">
      <c r="A46" s="4" t="s">
        <v>132</v>
      </c>
      <c r="B46" s="4"/>
      <c r="C46" s="4"/>
      <c r="D46" s="4" t="s">
        <v>36</v>
      </c>
      <c r="E46" s="4"/>
      <c r="F46" s="5"/>
      <c r="G46" s="52"/>
      <c r="H46" s="52"/>
      <c r="I46" s="52"/>
      <c r="J46" s="52"/>
      <c r="K46" s="52"/>
      <c r="L46" s="52"/>
      <c r="M46" s="53">
        <v>1762471.05</v>
      </c>
      <c r="N46" s="6">
        <f t="shared" si="0"/>
        <v>0.67728957379790022</v>
      </c>
      <c r="O46" s="69"/>
      <c r="P46" s="69"/>
      <c r="Q46" s="69"/>
      <c r="R46" s="69"/>
      <c r="S46" s="69"/>
      <c r="T46" s="69"/>
      <c r="U46" s="69"/>
      <c r="V46" s="70">
        <f>SUM(V47,V56,V62,V69)</f>
        <v>2205162.5</v>
      </c>
      <c r="W46" s="69"/>
      <c r="X46" s="69"/>
      <c r="Y46" s="69"/>
      <c r="Z46" s="69"/>
      <c r="AA46" s="69"/>
      <c r="AB46" s="70">
        <f>SUM(AB47,AB56,AB62,AB69)</f>
        <v>2205162.5</v>
      </c>
    </row>
    <row r="47" spans="1:28" ht="24" customHeight="1" x14ac:dyDescent="0.2">
      <c r="A47" s="4" t="s">
        <v>133</v>
      </c>
      <c r="B47" s="4"/>
      <c r="C47" s="4"/>
      <c r="D47" s="4" t="s">
        <v>38</v>
      </c>
      <c r="E47" s="4"/>
      <c r="F47" s="5"/>
      <c r="G47" s="52"/>
      <c r="H47" s="52"/>
      <c r="I47" s="52"/>
      <c r="J47" s="52"/>
      <c r="K47" s="52"/>
      <c r="L47" s="52"/>
      <c r="M47" s="53">
        <v>1159647.71</v>
      </c>
      <c r="N47" s="6">
        <f t="shared" si="0"/>
        <v>0.44563415850808497</v>
      </c>
      <c r="O47" s="69"/>
      <c r="P47" s="69"/>
      <c r="Q47" s="69"/>
      <c r="R47" s="69"/>
      <c r="S47" s="69"/>
      <c r="T47" s="69"/>
      <c r="U47" s="69"/>
      <c r="V47" s="70">
        <f>SUM(V48:V55)</f>
        <v>1451034.3299999998</v>
      </c>
      <c r="W47" s="69"/>
      <c r="X47" s="69"/>
      <c r="Y47" s="69"/>
      <c r="Z47" s="69"/>
      <c r="AA47" s="69"/>
      <c r="AB47" s="70">
        <f>SUM(AB48:AB55)</f>
        <v>1451034.3299999998</v>
      </c>
    </row>
    <row r="48" spans="1:28" ht="65.099999999999994" customHeight="1" x14ac:dyDescent="0.2">
      <c r="A48" s="7" t="s">
        <v>134</v>
      </c>
      <c r="B48" s="8" t="s">
        <v>135</v>
      </c>
      <c r="C48" s="7" t="s">
        <v>60</v>
      </c>
      <c r="D48" s="7" t="s">
        <v>136</v>
      </c>
      <c r="E48" s="9" t="s">
        <v>32</v>
      </c>
      <c r="F48" s="8">
        <v>3666.51</v>
      </c>
      <c r="G48" s="54">
        <v>235.47</v>
      </c>
      <c r="H48" s="54">
        <v>21.98</v>
      </c>
      <c r="I48" s="54">
        <v>213.49</v>
      </c>
      <c r="J48" s="54">
        <f t="shared" ref="J48:J55" si="61">TRUNC(G48 * (1 + 0 / 100), 2)</f>
        <v>235.47</v>
      </c>
      <c r="K48" s="54">
        <f t="shared" ref="K48:K55" si="62">TRUNC(F48 * H48, 2)</f>
        <v>80589.88</v>
      </c>
      <c r="L48" s="54">
        <f t="shared" ref="L48:L55" si="63">M48 - K48</f>
        <v>782763.22</v>
      </c>
      <c r="M48" s="54">
        <f t="shared" ref="M48:M55" si="64">TRUNC(F48 * J48, 2)</f>
        <v>863353.1</v>
      </c>
      <c r="N48" s="10">
        <f t="shared" si="0"/>
        <v>0.33177285558029218</v>
      </c>
      <c r="O48" s="71" t="s">
        <v>359</v>
      </c>
      <c r="P48" s="67">
        <f>IF(O48="BDI  PADRÃO",'BDI 2025'!$D$16,'BDI 2025'!$F$16)</f>
        <v>0.25130000000000002</v>
      </c>
      <c r="Q48" s="68">
        <f t="shared" ref="Q48:Q81" si="65">TRUNC($H48*(1+$P48),2)</f>
        <v>27.5</v>
      </c>
      <c r="R48" s="68">
        <f t="shared" ref="R48:R81" si="66">S48-Q48</f>
        <v>267.14</v>
      </c>
      <c r="S48" s="68">
        <f t="shared" ref="S48:S81" si="67">TRUNC($G48*(1+$P48),2)</f>
        <v>294.64</v>
      </c>
      <c r="T48" s="68">
        <f t="shared" ref="T48:T55" si="68">TRUNC(Q48*$F48,2)</f>
        <v>100829.02</v>
      </c>
      <c r="U48" s="68">
        <f t="shared" ref="U48:U81" si="69">V48-T48</f>
        <v>979471.48</v>
      </c>
      <c r="V48" s="68">
        <f t="shared" ref="V48:V55" si="70">TRUNC(S48*$F48,2)</f>
        <v>1080300.5</v>
      </c>
      <c r="W48" s="68">
        <f t="shared" ref="W48:W81" si="71">TRUNC($H48*(1+$P48-$R$1),2)</f>
        <v>27.5</v>
      </c>
      <c r="X48" s="68">
        <f t="shared" ref="X48:X81" si="72">Y48-W48</f>
        <v>267.14</v>
      </c>
      <c r="Y48" s="68">
        <f t="shared" ref="Y48:Y81" si="73">TRUNC($G48*(1+$P48-$R$1),2)</f>
        <v>294.64</v>
      </c>
      <c r="Z48" s="68">
        <f t="shared" ref="Z48:Z55" si="74">TRUNC(W48*$F48,2)</f>
        <v>100829.02</v>
      </c>
      <c r="AA48" s="68">
        <f t="shared" ref="AA48:AA81" si="75">AB48-Z48</f>
        <v>979471.48</v>
      </c>
      <c r="AB48" s="68">
        <f t="shared" ref="AB48:AB55" si="76">TRUNC(Y48*$F48,2)</f>
        <v>1080300.5</v>
      </c>
    </row>
    <row r="49" spans="1:28" ht="39" customHeight="1" x14ac:dyDescent="0.2">
      <c r="A49" s="7" t="s">
        <v>137</v>
      </c>
      <c r="B49" s="8" t="s">
        <v>138</v>
      </c>
      <c r="C49" s="7" t="s">
        <v>68</v>
      </c>
      <c r="D49" s="7" t="s">
        <v>139</v>
      </c>
      <c r="E49" s="9" t="s">
        <v>45</v>
      </c>
      <c r="F49" s="8">
        <v>2216.56</v>
      </c>
      <c r="G49" s="54">
        <v>61.88</v>
      </c>
      <c r="H49" s="54">
        <v>2.76</v>
      </c>
      <c r="I49" s="54">
        <v>59.12</v>
      </c>
      <c r="J49" s="54">
        <f t="shared" si="61"/>
        <v>61.88</v>
      </c>
      <c r="K49" s="54">
        <f t="shared" si="62"/>
        <v>6117.7</v>
      </c>
      <c r="L49" s="54">
        <f t="shared" si="63"/>
        <v>131043.03000000001</v>
      </c>
      <c r="M49" s="54">
        <f t="shared" si="64"/>
        <v>137160.73000000001</v>
      </c>
      <c r="N49" s="10">
        <f t="shared" si="0"/>
        <v>5.2708685548910929E-2</v>
      </c>
      <c r="O49" s="71" t="s">
        <v>359</v>
      </c>
      <c r="P49" s="67">
        <f>IF(O49="BDI  PADRÃO",'BDI 2025'!$D$16,'BDI 2025'!$F$16)</f>
        <v>0.25130000000000002</v>
      </c>
      <c r="Q49" s="68">
        <f t="shared" si="65"/>
        <v>3.45</v>
      </c>
      <c r="R49" s="68">
        <f t="shared" si="66"/>
        <v>73.98</v>
      </c>
      <c r="S49" s="68">
        <f t="shared" si="67"/>
        <v>77.430000000000007</v>
      </c>
      <c r="T49" s="68">
        <f t="shared" si="68"/>
        <v>7647.13</v>
      </c>
      <c r="U49" s="68">
        <f t="shared" si="69"/>
        <v>163981.10999999999</v>
      </c>
      <c r="V49" s="68">
        <f t="shared" si="70"/>
        <v>171628.24</v>
      </c>
      <c r="W49" s="68">
        <f t="shared" si="71"/>
        <v>3.45</v>
      </c>
      <c r="X49" s="68">
        <f t="shared" si="72"/>
        <v>73.98</v>
      </c>
      <c r="Y49" s="68">
        <f t="shared" si="73"/>
        <v>77.430000000000007</v>
      </c>
      <c r="Z49" s="68">
        <f t="shared" si="74"/>
        <v>7647.13</v>
      </c>
      <c r="AA49" s="68">
        <f t="shared" si="75"/>
        <v>163981.10999999999</v>
      </c>
      <c r="AB49" s="68">
        <f t="shared" si="76"/>
        <v>171628.24</v>
      </c>
    </row>
    <row r="50" spans="1:28" ht="26.1" customHeight="1" x14ac:dyDescent="0.2">
      <c r="A50" s="7" t="s">
        <v>140</v>
      </c>
      <c r="B50" s="8" t="s">
        <v>141</v>
      </c>
      <c r="C50" s="7" t="s">
        <v>23</v>
      </c>
      <c r="D50" s="7" t="s">
        <v>142</v>
      </c>
      <c r="E50" s="9" t="s">
        <v>32</v>
      </c>
      <c r="F50" s="8">
        <v>160.37</v>
      </c>
      <c r="G50" s="54">
        <v>474.35</v>
      </c>
      <c r="H50" s="54">
        <v>43.49</v>
      </c>
      <c r="I50" s="54">
        <v>430.86</v>
      </c>
      <c r="J50" s="54">
        <f t="shared" si="61"/>
        <v>474.35</v>
      </c>
      <c r="K50" s="54">
        <f t="shared" si="62"/>
        <v>6974.49</v>
      </c>
      <c r="L50" s="54">
        <f t="shared" si="63"/>
        <v>69097.009999999995</v>
      </c>
      <c r="M50" s="54">
        <f t="shared" si="64"/>
        <v>76071.5</v>
      </c>
      <c r="N50" s="10">
        <f t="shared" si="0"/>
        <v>2.9233066729332641E-2</v>
      </c>
      <c r="O50" s="71" t="s">
        <v>359</v>
      </c>
      <c r="P50" s="67">
        <f>IF(O50="BDI  PADRÃO",'BDI 2025'!$D$16,'BDI 2025'!$F$16)</f>
        <v>0.25130000000000002</v>
      </c>
      <c r="Q50" s="68">
        <f t="shared" si="65"/>
        <v>54.41</v>
      </c>
      <c r="R50" s="68">
        <f t="shared" si="66"/>
        <v>539.14</v>
      </c>
      <c r="S50" s="68">
        <f t="shared" si="67"/>
        <v>593.54999999999995</v>
      </c>
      <c r="T50" s="68">
        <f t="shared" si="68"/>
        <v>8725.73</v>
      </c>
      <c r="U50" s="68">
        <f t="shared" si="69"/>
        <v>86461.88</v>
      </c>
      <c r="V50" s="68">
        <f t="shared" si="70"/>
        <v>95187.61</v>
      </c>
      <c r="W50" s="68">
        <f t="shared" si="71"/>
        <v>54.41</v>
      </c>
      <c r="X50" s="68">
        <f t="shared" si="72"/>
        <v>539.14</v>
      </c>
      <c r="Y50" s="68">
        <f t="shared" si="73"/>
        <v>593.54999999999995</v>
      </c>
      <c r="Z50" s="68">
        <f t="shared" si="74"/>
        <v>8725.73</v>
      </c>
      <c r="AA50" s="68">
        <f t="shared" si="75"/>
        <v>86461.88</v>
      </c>
      <c r="AB50" s="68">
        <f t="shared" si="76"/>
        <v>95187.61</v>
      </c>
    </row>
    <row r="51" spans="1:28" ht="24" customHeight="1" x14ac:dyDescent="0.2">
      <c r="A51" s="7" t="s">
        <v>143</v>
      </c>
      <c r="B51" s="8" t="s">
        <v>144</v>
      </c>
      <c r="C51" s="7" t="s">
        <v>23</v>
      </c>
      <c r="D51" s="7" t="s">
        <v>145</v>
      </c>
      <c r="E51" s="9" t="s">
        <v>45</v>
      </c>
      <c r="F51" s="8">
        <v>65.5</v>
      </c>
      <c r="G51" s="54">
        <v>87.25</v>
      </c>
      <c r="H51" s="54">
        <v>10.94</v>
      </c>
      <c r="I51" s="54">
        <v>76.31</v>
      </c>
      <c r="J51" s="54">
        <f t="shared" si="61"/>
        <v>87.25</v>
      </c>
      <c r="K51" s="54">
        <f t="shared" si="62"/>
        <v>716.57</v>
      </c>
      <c r="L51" s="54">
        <f t="shared" si="63"/>
        <v>4998.3</v>
      </c>
      <c r="M51" s="54">
        <f t="shared" si="64"/>
        <v>5714.87</v>
      </c>
      <c r="N51" s="10">
        <f t="shared" si="0"/>
        <v>2.1961335856327431E-3</v>
      </c>
      <c r="O51" s="71" t="s">
        <v>359</v>
      </c>
      <c r="P51" s="67">
        <f>IF(O51="BDI  PADRÃO",'BDI 2025'!$D$16,'BDI 2025'!$F$16)</f>
        <v>0.25130000000000002</v>
      </c>
      <c r="Q51" s="68">
        <f t="shared" si="65"/>
        <v>13.68</v>
      </c>
      <c r="R51" s="68">
        <f t="shared" si="66"/>
        <v>95.490000000000009</v>
      </c>
      <c r="S51" s="68">
        <f t="shared" si="67"/>
        <v>109.17</v>
      </c>
      <c r="T51" s="68">
        <f t="shared" si="68"/>
        <v>896.04</v>
      </c>
      <c r="U51" s="68">
        <f t="shared" si="69"/>
        <v>6254.59</v>
      </c>
      <c r="V51" s="68">
        <f t="shared" si="70"/>
        <v>7150.63</v>
      </c>
      <c r="W51" s="68">
        <f t="shared" si="71"/>
        <v>13.68</v>
      </c>
      <c r="X51" s="68">
        <f t="shared" si="72"/>
        <v>95.490000000000009</v>
      </c>
      <c r="Y51" s="68">
        <f t="shared" si="73"/>
        <v>109.17</v>
      </c>
      <c r="Z51" s="68">
        <f t="shared" si="74"/>
        <v>896.04</v>
      </c>
      <c r="AA51" s="68">
        <f t="shared" si="75"/>
        <v>6254.59</v>
      </c>
      <c r="AB51" s="68">
        <f t="shared" si="76"/>
        <v>7150.63</v>
      </c>
    </row>
    <row r="52" spans="1:28" ht="24" customHeight="1" x14ac:dyDescent="0.2">
      <c r="A52" s="7" t="s">
        <v>146</v>
      </c>
      <c r="B52" s="8" t="s">
        <v>147</v>
      </c>
      <c r="C52" s="7" t="s">
        <v>48</v>
      </c>
      <c r="D52" s="7" t="s">
        <v>148</v>
      </c>
      <c r="E52" s="9" t="s">
        <v>32</v>
      </c>
      <c r="F52" s="8">
        <v>44.51</v>
      </c>
      <c r="G52" s="54">
        <v>9.24</v>
      </c>
      <c r="H52" s="54">
        <v>6.05</v>
      </c>
      <c r="I52" s="54">
        <v>3.19</v>
      </c>
      <c r="J52" s="54">
        <f t="shared" si="61"/>
        <v>9.24</v>
      </c>
      <c r="K52" s="54">
        <f t="shared" si="62"/>
        <v>269.27999999999997</v>
      </c>
      <c r="L52" s="54">
        <f t="shared" si="63"/>
        <v>141.99</v>
      </c>
      <c r="M52" s="54">
        <f t="shared" si="64"/>
        <v>411.27</v>
      </c>
      <c r="N52" s="10">
        <f t="shared" si="0"/>
        <v>1.5804451540685585E-4</v>
      </c>
      <c r="O52" s="71" t="s">
        <v>359</v>
      </c>
      <c r="P52" s="67">
        <f>IF(O52="BDI  PADRÃO",'BDI 2025'!$D$16,'BDI 2025'!$F$16)</f>
        <v>0.25130000000000002</v>
      </c>
      <c r="Q52" s="68">
        <f t="shared" si="65"/>
        <v>7.57</v>
      </c>
      <c r="R52" s="68">
        <f t="shared" si="66"/>
        <v>3.99</v>
      </c>
      <c r="S52" s="68">
        <f t="shared" si="67"/>
        <v>11.56</v>
      </c>
      <c r="T52" s="68">
        <f t="shared" si="68"/>
        <v>336.94</v>
      </c>
      <c r="U52" s="68">
        <f t="shared" si="69"/>
        <v>177.58999999999997</v>
      </c>
      <c r="V52" s="68">
        <f t="shared" si="70"/>
        <v>514.53</v>
      </c>
      <c r="W52" s="68">
        <f t="shared" si="71"/>
        <v>7.57</v>
      </c>
      <c r="X52" s="68">
        <f t="shared" si="72"/>
        <v>3.99</v>
      </c>
      <c r="Y52" s="68">
        <f t="shared" si="73"/>
        <v>11.56</v>
      </c>
      <c r="Z52" s="68">
        <f t="shared" si="74"/>
        <v>336.94</v>
      </c>
      <c r="AA52" s="68">
        <f t="shared" si="75"/>
        <v>177.58999999999997</v>
      </c>
      <c r="AB52" s="68">
        <f t="shared" si="76"/>
        <v>514.53</v>
      </c>
    </row>
    <row r="53" spans="1:28" ht="26.1" customHeight="1" x14ac:dyDescent="0.2">
      <c r="A53" s="7" t="s">
        <v>149</v>
      </c>
      <c r="B53" s="8" t="s">
        <v>150</v>
      </c>
      <c r="C53" s="7" t="s">
        <v>23</v>
      </c>
      <c r="D53" s="7" t="s">
        <v>151</v>
      </c>
      <c r="E53" s="9" t="s">
        <v>32</v>
      </c>
      <c r="F53" s="8">
        <v>374.84</v>
      </c>
      <c r="G53" s="54">
        <v>52.94</v>
      </c>
      <c r="H53" s="54">
        <v>26.22</v>
      </c>
      <c r="I53" s="54">
        <v>26.72</v>
      </c>
      <c r="J53" s="54">
        <f t="shared" si="61"/>
        <v>52.94</v>
      </c>
      <c r="K53" s="54">
        <f t="shared" si="62"/>
        <v>9828.2999999999993</v>
      </c>
      <c r="L53" s="54">
        <f t="shared" si="63"/>
        <v>10015.720000000001</v>
      </c>
      <c r="M53" s="54">
        <f t="shared" si="64"/>
        <v>19844.02</v>
      </c>
      <c r="N53" s="10">
        <f t="shared" si="0"/>
        <v>7.6257410572712712E-3</v>
      </c>
      <c r="O53" s="71" t="s">
        <v>359</v>
      </c>
      <c r="P53" s="67">
        <f>IF(O53="BDI  PADRÃO",'BDI 2025'!$D$16,'BDI 2025'!$F$16)</f>
        <v>0.25130000000000002</v>
      </c>
      <c r="Q53" s="68">
        <f t="shared" si="65"/>
        <v>32.799999999999997</v>
      </c>
      <c r="R53" s="68">
        <f t="shared" si="66"/>
        <v>33.44</v>
      </c>
      <c r="S53" s="68">
        <f t="shared" si="67"/>
        <v>66.239999999999995</v>
      </c>
      <c r="T53" s="68">
        <f t="shared" si="68"/>
        <v>12294.75</v>
      </c>
      <c r="U53" s="68">
        <f t="shared" si="69"/>
        <v>12534.650000000001</v>
      </c>
      <c r="V53" s="68">
        <f t="shared" si="70"/>
        <v>24829.4</v>
      </c>
      <c r="W53" s="68">
        <f t="shared" si="71"/>
        <v>32.799999999999997</v>
      </c>
      <c r="X53" s="68">
        <f t="shared" si="72"/>
        <v>33.44</v>
      </c>
      <c r="Y53" s="68">
        <f t="shared" si="73"/>
        <v>66.239999999999995</v>
      </c>
      <c r="Z53" s="68">
        <f t="shared" si="74"/>
        <v>12294.75</v>
      </c>
      <c r="AA53" s="68">
        <f t="shared" si="75"/>
        <v>12534.650000000001</v>
      </c>
      <c r="AB53" s="68">
        <f t="shared" si="76"/>
        <v>24829.4</v>
      </c>
    </row>
    <row r="54" spans="1:28" ht="26.1" customHeight="1" x14ac:dyDescent="0.2">
      <c r="A54" s="7" t="s">
        <v>152</v>
      </c>
      <c r="B54" s="8" t="s">
        <v>153</v>
      </c>
      <c r="C54" s="7" t="s">
        <v>23</v>
      </c>
      <c r="D54" s="7" t="s">
        <v>154</v>
      </c>
      <c r="E54" s="9" t="s">
        <v>32</v>
      </c>
      <c r="F54" s="8">
        <v>374.84</v>
      </c>
      <c r="G54" s="54">
        <v>5.59</v>
      </c>
      <c r="H54" s="54">
        <v>2.8</v>
      </c>
      <c r="I54" s="54">
        <v>2.79</v>
      </c>
      <c r="J54" s="54">
        <f t="shared" si="61"/>
        <v>5.59</v>
      </c>
      <c r="K54" s="54">
        <f t="shared" si="62"/>
        <v>1049.55</v>
      </c>
      <c r="L54" s="54">
        <f t="shared" si="63"/>
        <v>1045.8</v>
      </c>
      <c r="M54" s="54">
        <f t="shared" si="64"/>
        <v>2095.35</v>
      </c>
      <c r="N54" s="10">
        <f t="shared" si="0"/>
        <v>8.0520965632736494E-4</v>
      </c>
      <c r="O54" s="71" t="s">
        <v>359</v>
      </c>
      <c r="P54" s="67">
        <f>IF(O54="BDI  PADRÃO",'BDI 2025'!$D$16,'BDI 2025'!$F$16)</f>
        <v>0.25130000000000002</v>
      </c>
      <c r="Q54" s="68">
        <f t="shared" si="65"/>
        <v>3.5</v>
      </c>
      <c r="R54" s="68">
        <f t="shared" si="66"/>
        <v>3.49</v>
      </c>
      <c r="S54" s="68">
        <f t="shared" si="67"/>
        <v>6.99</v>
      </c>
      <c r="T54" s="68">
        <f t="shared" si="68"/>
        <v>1311.94</v>
      </c>
      <c r="U54" s="68">
        <f t="shared" si="69"/>
        <v>1308.19</v>
      </c>
      <c r="V54" s="68">
        <f t="shared" si="70"/>
        <v>2620.13</v>
      </c>
      <c r="W54" s="68">
        <f t="shared" si="71"/>
        <v>3.5</v>
      </c>
      <c r="X54" s="68">
        <f t="shared" si="72"/>
        <v>3.49</v>
      </c>
      <c r="Y54" s="68">
        <f t="shared" si="73"/>
        <v>6.99</v>
      </c>
      <c r="Z54" s="68">
        <f t="shared" si="74"/>
        <v>1311.94</v>
      </c>
      <c r="AA54" s="68">
        <f t="shared" si="75"/>
        <v>1308.19</v>
      </c>
      <c r="AB54" s="68">
        <f t="shared" si="76"/>
        <v>2620.13</v>
      </c>
    </row>
    <row r="55" spans="1:28" ht="26.1" customHeight="1" x14ac:dyDescent="0.2">
      <c r="A55" s="7" t="s">
        <v>155</v>
      </c>
      <c r="B55" s="8" t="s">
        <v>156</v>
      </c>
      <c r="C55" s="7" t="s">
        <v>23</v>
      </c>
      <c r="D55" s="7" t="s">
        <v>157</v>
      </c>
      <c r="E55" s="9" t="s">
        <v>32</v>
      </c>
      <c r="F55" s="8">
        <v>3813.93</v>
      </c>
      <c r="G55" s="54">
        <v>14.42</v>
      </c>
      <c r="H55" s="54">
        <v>6.89</v>
      </c>
      <c r="I55" s="54">
        <v>7.53</v>
      </c>
      <c r="J55" s="54">
        <f t="shared" si="61"/>
        <v>14.42</v>
      </c>
      <c r="K55" s="54">
        <f t="shared" si="62"/>
        <v>26277.97</v>
      </c>
      <c r="L55" s="54">
        <f t="shared" si="63"/>
        <v>28718.9</v>
      </c>
      <c r="M55" s="54">
        <f t="shared" si="64"/>
        <v>54996.87</v>
      </c>
      <c r="N55" s="10">
        <f t="shared" si="0"/>
        <v>2.1134421834911005E-2</v>
      </c>
      <c r="O55" s="71" t="s">
        <v>359</v>
      </c>
      <c r="P55" s="67">
        <f>IF(O55="BDI  PADRÃO",'BDI 2025'!$D$16,'BDI 2025'!$F$16)</f>
        <v>0.25130000000000002</v>
      </c>
      <c r="Q55" s="68">
        <f t="shared" si="65"/>
        <v>8.6199999999999992</v>
      </c>
      <c r="R55" s="68">
        <f t="shared" si="66"/>
        <v>9.42</v>
      </c>
      <c r="S55" s="68">
        <f t="shared" si="67"/>
        <v>18.04</v>
      </c>
      <c r="T55" s="68">
        <f t="shared" si="68"/>
        <v>32876.07</v>
      </c>
      <c r="U55" s="68">
        <f t="shared" si="69"/>
        <v>35927.219999999994</v>
      </c>
      <c r="V55" s="68">
        <f t="shared" si="70"/>
        <v>68803.289999999994</v>
      </c>
      <c r="W55" s="68">
        <f t="shared" si="71"/>
        <v>8.6199999999999992</v>
      </c>
      <c r="X55" s="68">
        <f t="shared" si="72"/>
        <v>9.42</v>
      </c>
      <c r="Y55" s="68">
        <f t="shared" si="73"/>
        <v>18.04</v>
      </c>
      <c r="Z55" s="68">
        <f t="shared" si="74"/>
        <v>32876.07</v>
      </c>
      <c r="AA55" s="68">
        <f t="shared" si="75"/>
        <v>35927.219999999994</v>
      </c>
      <c r="AB55" s="68">
        <f t="shared" si="76"/>
        <v>68803.289999999994</v>
      </c>
    </row>
    <row r="56" spans="1:28" ht="24" customHeight="1" x14ac:dyDescent="0.2">
      <c r="A56" s="4" t="s">
        <v>158</v>
      </c>
      <c r="B56" s="4"/>
      <c r="C56" s="4"/>
      <c r="D56" s="4" t="s">
        <v>57</v>
      </c>
      <c r="E56" s="4"/>
      <c r="F56" s="5"/>
      <c r="G56" s="52"/>
      <c r="H56" s="52"/>
      <c r="I56" s="52"/>
      <c r="J56" s="52"/>
      <c r="K56" s="52"/>
      <c r="L56" s="52"/>
      <c r="M56" s="53">
        <v>427998.03</v>
      </c>
      <c r="N56" s="6">
        <f t="shared" si="0"/>
        <v>0.16447283109985888</v>
      </c>
      <c r="O56" s="69"/>
      <c r="P56" s="69"/>
      <c r="Q56" s="69"/>
      <c r="R56" s="69"/>
      <c r="S56" s="69"/>
      <c r="T56" s="69"/>
      <c r="U56" s="69"/>
      <c r="V56" s="70">
        <f>SUM(V57:V61)</f>
        <v>535371.89</v>
      </c>
      <c r="W56" s="69"/>
      <c r="X56" s="69"/>
      <c r="Y56" s="69"/>
      <c r="Z56" s="69"/>
      <c r="AA56" s="69"/>
      <c r="AB56" s="70">
        <f>SUM(AB57:AB61)</f>
        <v>535371.89</v>
      </c>
    </row>
    <row r="57" spans="1:28" ht="51.95" customHeight="1" x14ac:dyDescent="0.2">
      <c r="A57" s="7" t="s">
        <v>159</v>
      </c>
      <c r="B57" s="8" t="s">
        <v>160</v>
      </c>
      <c r="C57" s="7" t="s">
        <v>23</v>
      </c>
      <c r="D57" s="7" t="s">
        <v>161</v>
      </c>
      <c r="E57" s="9" t="s">
        <v>32</v>
      </c>
      <c r="F57" s="8">
        <v>996.48</v>
      </c>
      <c r="G57" s="54">
        <v>129.74</v>
      </c>
      <c r="H57" s="54">
        <v>20.57</v>
      </c>
      <c r="I57" s="54">
        <v>109.17</v>
      </c>
      <c r="J57" s="54">
        <f>TRUNC(G57 * (1 + 0 / 100), 2)</f>
        <v>129.74</v>
      </c>
      <c r="K57" s="54">
        <f>TRUNC(F57 * H57, 2)</f>
        <v>20497.59</v>
      </c>
      <c r="L57" s="54">
        <f>M57 - K57</f>
        <v>108785.72</v>
      </c>
      <c r="M57" s="54">
        <f>TRUNC(F57 * J57, 2)</f>
        <v>129283.31</v>
      </c>
      <c r="N57" s="10">
        <f t="shared" si="0"/>
        <v>4.9681518416476576E-2</v>
      </c>
      <c r="O57" s="71" t="s">
        <v>359</v>
      </c>
      <c r="P57" s="67">
        <f>IF(O57="BDI  PADRÃO",'BDI 2025'!$D$16,'BDI 2025'!$F$16)</f>
        <v>0.25130000000000002</v>
      </c>
      <c r="Q57" s="68">
        <f t="shared" si="65"/>
        <v>25.73</v>
      </c>
      <c r="R57" s="68">
        <f t="shared" si="66"/>
        <v>136.61000000000001</v>
      </c>
      <c r="S57" s="68">
        <f t="shared" si="67"/>
        <v>162.34</v>
      </c>
      <c r="T57" s="68">
        <f t="shared" ref="T57:T61" si="77">TRUNC(Q57*$F57,2)</f>
        <v>25639.43</v>
      </c>
      <c r="U57" s="68">
        <f t="shared" si="69"/>
        <v>136129.13</v>
      </c>
      <c r="V57" s="68">
        <f t="shared" ref="V57:V61" si="78">TRUNC(S57*$F57,2)</f>
        <v>161768.56</v>
      </c>
      <c r="W57" s="68">
        <f t="shared" si="71"/>
        <v>25.73</v>
      </c>
      <c r="X57" s="68">
        <f t="shared" si="72"/>
        <v>136.61000000000001</v>
      </c>
      <c r="Y57" s="68">
        <f t="shared" si="73"/>
        <v>162.34</v>
      </c>
      <c r="Z57" s="68">
        <f t="shared" ref="Z57:Z61" si="79">TRUNC(W57*$F57,2)</f>
        <v>25639.43</v>
      </c>
      <c r="AA57" s="68">
        <f t="shared" si="75"/>
        <v>136129.13</v>
      </c>
      <c r="AB57" s="68">
        <f t="shared" ref="AB57:AB61" si="80">TRUNC(Y57*$F57,2)</f>
        <v>161768.56</v>
      </c>
    </row>
    <row r="58" spans="1:28" ht="26.1" customHeight="1" x14ac:dyDescent="0.2">
      <c r="A58" s="7" t="s">
        <v>162</v>
      </c>
      <c r="B58" s="8" t="s">
        <v>163</v>
      </c>
      <c r="C58" s="7" t="s">
        <v>68</v>
      </c>
      <c r="D58" s="7" t="s">
        <v>164</v>
      </c>
      <c r="E58" s="9" t="s">
        <v>32</v>
      </c>
      <c r="F58" s="8">
        <v>799.65</v>
      </c>
      <c r="G58" s="54">
        <v>32.53</v>
      </c>
      <c r="H58" s="54">
        <v>1.75</v>
      </c>
      <c r="I58" s="54">
        <v>30.78</v>
      </c>
      <c r="J58" s="54">
        <f>TRUNC(G58 * (1 + 0 / 100), 2)</f>
        <v>32.53</v>
      </c>
      <c r="K58" s="54">
        <f>TRUNC(F58 * H58, 2)</f>
        <v>1399.38</v>
      </c>
      <c r="L58" s="54">
        <f>M58 - K58</f>
        <v>24613.23</v>
      </c>
      <c r="M58" s="54">
        <f>TRUNC(F58 * J58, 2)</f>
        <v>26012.61</v>
      </c>
      <c r="N58" s="10">
        <f t="shared" si="0"/>
        <v>9.9962320176952679E-3</v>
      </c>
      <c r="O58" s="71" t="s">
        <v>359</v>
      </c>
      <c r="P58" s="67">
        <f>IF(O58="BDI  PADRÃO",'BDI 2025'!$D$16,'BDI 2025'!$F$16)</f>
        <v>0.25130000000000002</v>
      </c>
      <c r="Q58" s="68">
        <f t="shared" si="65"/>
        <v>2.1800000000000002</v>
      </c>
      <c r="R58" s="68">
        <f t="shared" si="66"/>
        <v>38.520000000000003</v>
      </c>
      <c r="S58" s="68">
        <f t="shared" si="67"/>
        <v>40.700000000000003</v>
      </c>
      <c r="T58" s="68">
        <f t="shared" si="77"/>
        <v>1743.23</v>
      </c>
      <c r="U58" s="68">
        <f t="shared" si="69"/>
        <v>30802.52</v>
      </c>
      <c r="V58" s="68">
        <f t="shared" si="78"/>
        <v>32545.75</v>
      </c>
      <c r="W58" s="68">
        <f t="shared" si="71"/>
        <v>2.1800000000000002</v>
      </c>
      <c r="X58" s="68">
        <f t="shared" si="72"/>
        <v>38.520000000000003</v>
      </c>
      <c r="Y58" s="68">
        <f t="shared" si="73"/>
        <v>40.700000000000003</v>
      </c>
      <c r="Z58" s="68">
        <f t="shared" si="79"/>
        <v>1743.23</v>
      </c>
      <c r="AA58" s="68">
        <f t="shared" si="75"/>
        <v>30802.52</v>
      </c>
      <c r="AB58" s="68">
        <f t="shared" si="80"/>
        <v>32545.75</v>
      </c>
    </row>
    <row r="59" spans="1:28" ht="26.1" customHeight="1" x14ac:dyDescent="0.2">
      <c r="A59" s="7" t="s">
        <v>165</v>
      </c>
      <c r="B59" s="8" t="s">
        <v>166</v>
      </c>
      <c r="C59" s="7" t="s">
        <v>23</v>
      </c>
      <c r="D59" s="7" t="s">
        <v>167</v>
      </c>
      <c r="E59" s="9" t="s">
        <v>32</v>
      </c>
      <c r="F59" s="8">
        <v>679.39</v>
      </c>
      <c r="G59" s="54">
        <v>22.32</v>
      </c>
      <c r="H59" s="54">
        <v>10.96</v>
      </c>
      <c r="I59" s="54">
        <v>11.36</v>
      </c>
      <c r="J59" s="54">
        <f>TRUNC(G59 * (1 + 0 / 100), 2)</f>
        <v>22.32</v>
      </c>
      <c r="K59" s="54">
        <f>TRUNC(F59 * H59, 2)</f>
        <v>7446.11</v>
      </c>
      <c r="L59" s="54">
        <f>M59 - K59</f>
        <v>7717.87</v>
      </c>
      <c r="M59" s="54">
        <f>TRUNC(F59 * J59, 2)</f>
        <v>15163.98</v>
      </c>
      <c r="N59" s="10">
        <f t="shared" si="0"/>
        <v>5.827276170737603E-3</v>
      </c>
      <c r="O59" s="71" t="s">
        <v>359</v>
      </c>
      <c r="P59" s="67">
        <f>IF(O59="BDI  PADRÃO",'BDI 2025'!$D$16,'BDI 2025'!$F$16)</f>
        <v>0.25130000000000002</v>
      </c>
      <c r="Q59" s="68">
        <f t="shared" si="65"/>
        <v>13.71</v>
      </c>
      <c r="R59" s="68">
        <f t="shared" si="66"/>
        <v>14.21</v>
      </c>
      <c r="S59" s="68">
        <f t="shared" si="67"/>
        <v>27.92</v>
      </c>
      <c r="T59" s="68">
        <f t="shared" si="77"/>
        <v>9314.43</v>
      </c>
      <c r="U59" s="68">
        <f t="shared" si="69"/>
        <v>9654.130000000001</v>
      </c>
      <c r="V59" s="68">
        <f t="shared" si="78"/>
        <v>18968.560000000001</v>
      </c>
      <c r="W59" s="68">
        <f t="shared" si="71"/>
        <v>13.71</v>
      </c>
      <c r="X59" s="68">
        <f t="shared" si="72"/>
        <v>14.21</v>
      </c>
      <c r="Y59" s="68">
        <f t="shared" si="73"/>
        <v>27.92</v>
      </c>
      <c r="Z59" s="68">
        <f t="shared" si="79"/>
        <v>9314.43</v>
      </c>
      <c r="AA59" s="68">
        <f t="shared" si="75"/>
        <v>9654.130000000001</v>
      </c>
      <c r="AB59" s="68">
        <f t="shared" si="80"/>
        <v>18968.560000000001</v>
      </c>
    </row>
    <row r="60" spans="1:28" ht="26.1" customHeight="1" x14ac:dyDescent="0.2">
      <c r="A60" s="7" t="s">
        <v>168</v>
      </c>
      <c r="B60" s="8" t="s">
        <v>169</v>
      </c>
      <c r="C60" s="7" t="s">
        <v>23</v>
      </c>
      <c r="D60" s="7" t="s">
        <v>170</v>
      </c>
      <c r="E60" s="9" t="s">
        <v>32</v>
      </c>
      <c r="F60" s="8">
        <v>1599.3</v>
      </c>
      <c r="G60" s="54">
        <v>4.43</v>
      </c>
      <c r="H60" s="54">
        <v>2.0099999999999998</v>
      </c>
      <c r="I60" s="54">
        <v>2.42</v>
      </c>
      <c r="J60" s="54">
        <f>TRUNC(G60 * (1 + 0 / 100), 2)</f>
        <v>4.43</v>
      </c>
      <c r="K60" s="54">
        <f>TRUNC(F60 * H60, 2)</f>
        <v>3214.59</v>
      </c>
      <c r="L60" s="54">
        <f>M60 - K60</f>
        <v>3870.3</v>
      </c>
      <c r="M60" s="54">
        <f>TRUNC(F60 * J60, 2)</f>
        <v>7084.89</v>
      </c>
      <c r="N60" s="10">
        <f t="shared" si="0"/>
        <v>2.7226104669946238E-3</v>
      </c>
      <c r="O60" s="71" t="s">
        <v>359</v>
      </c>
      <c r="P60" s="67">
        <f>IF(O60="BDI  PADRÃO",'BDI 2025'!$D$16,'BDI 2025'!$F$16)</f>
        <v>0.25130000000000002</v>
      </c>
      <c r="Q60" s="68">
        <f t="shared" si="65"/>
        <v>2.5099999999999998</v>
      </c>
      <c r="R60" s="68">
        <f t="shared" si="66"/>
        <v>3.0300000000000002</v>
      </c>
      <c r="S60" s="68">
        <f t="shared" si="67"/>
        <v>5.54</v>
      </c>
      <c r="T60" s="68">
        <f t="shared" si="77"/>
        <v>4014.24</v>
      </c>
      <c r="U60" s="68">
        <f t="shared" si="69"/>
        <v>4845.880000000001</v>
      </c>
      <c r="V60" s="68">
        <f t="shared" si="78"/>
        <v>8860.1200000000008</v>
      </c>
      <c r="W60" s="68">
        <f t="shared" si="71"/>
        <v>2.5099999999999998</v>
      </c>
      <c r="X60" s="68">
        <f t="shared" si="72"/>
        <v>3.0300000000000002</v>
      </c>
      <c r="Y60" s="68">
        <f t="shared" si="73"/>
        <v>5.54</v>
      </c>
      <c r="Z60" s="68">
        <f t="shared" si="79"/>
        <v>4014.24</v>
      </c>
      <c r="AA60" s="68">
        <f t="shared" si="75"/>
        <v>4845.880000000001</v>
      </c>
      <c r="AB60" s="68">
        <f t="shared" si="80"/>
        <v>8860.1200000000008</v>
      </c>
    </row>
    <row r="61" spans="1:28" ht="26.1" customHeight="1" x14ac:dyDescent="0.2">
      <c r="A61" s="7" t="s">
        <v>171</v>
      </c>
      <c r="B61" s="8" t="s">
        <v>172</v>
      </c>
      <c r="C61" s="7" t="s">
        <v>23</v>
      </c>
      <c r="D61" s="7" t="s">
        <v>173</v>
      </c>
      <c r="E61" s="9" t="s">
        <v>32</v>
      </c>
      <c r="F61" s="8">
        <v>21646.78</v>
      </c>
      <c r="G61" s="54">
        <v>11.57</v>
      </c>
      <c r="H61" s="54">
        <v>4.9400000000000004</v>
      </c>
      <c r="I61" s="54">
        <v>6.63</v>
      </c>
      <c r="J61" s="54">
        <f>TRUNC(G61 * (1 + 0 / 100), 2)</f>
        <v>11.57</v>
      </c>
      <c r="K61" s="54">
        <f>TRUNC(F61 * H61, 2)</f>
        <v>106935.09</v>
      </c>
      <c r="L61" s="54">
        <f>M61 - K61</f>
        <v>143518.15</v>
      </c>
      <c r="M61" s="54">
        <f>TRUNC(F61 * J61, 2)</f>
        <v>250453.24</v>
      </c>
      <c r="N61" s="10">
        <f t="shared" si="0"/>
        <v>9.6245194027954784E-2</v>
      </c>
      <c r="O61" s="71" t="s">
        <v>359</v>
      </c>
      <c r="P61" s="67">
        <f>IF(O61="BDI  PADRÃO",'BDI 2025'!$D$16,'BDI 2025'!$F$16)</f>
        <v>0.25130000000000002</v>
      </c>
      <c r="Q61" s="68">
        <f t="shared" si="65"/>
        <v>6.18</v>
      </c>
      <c r="R61" s="68">
        <f t="shared" si="66"/>
        <v>8.2900000000000009</v>
      </c>
      <c r="S61" s="68">
        <f t="shared" si="67"/>
        <v>14.47</v>
      </c>
      <c r="T61" s="68">
        <f t="shared" si="77"/>
        <v>133777.1</v>
      </c>
      <c r="U61" s="68">
        <f t="shared" si="69"/>
        <v>179451.80000000002</v>
      </c>
      <c r="V61" s="68">
        <f t="shared" si="78"/>
        <v>313228.90000000002</v>
      </c>
      <c r="W61" s="68">
        <f t="shared" si="71"/>
        <v>6.18</v>
      </c>
      <c r="X61" s="68">
        <f t="shared" si="72"/>
        <v>8.2900000000000009</v>
      </c>
      <c r="Y61" s="68">
        <f t="shared" si="73"/>
        <v>14.47</v>
      </c>
      <c r="Z61" s="68">
        <f t="shared" si="79"/>
        <v>133777.1</v>
      </c>
      <c r="AA61" s="68">
        <f t="shared" si="75"/>
        <v>179451.80000000002</v>
      </c>
      <c r="AB61" s="68">
        <f t="shared" si="80"/>
        <v>313228.90000000002</v>
      </c>
    </row>
    <row r="62" spans="1:28" ht="24" customHeight="1" x14ac:dyDescent="0.2">
      <c r="A62" s="4" t="s">
        <v>174</v>
      </c>
      <c r="B62" s="4"/>
      <c r="C62" s="4"/>
      <c r="D62" s="4" t="s">
        <v>74</v>
      </c>
      <c r="E62" s="4"/>
      <c r="F62" s="5"/>
      <c r="G62" s="52"/>
      <c r="H62" s="52"/>
      <c r="I62" s="52"/>
      <c r="J62" s="52"/>
      <c r="K62" s="52"/>
      <c r="L62" s="52"/>
      <c r="M62" s="53">
        <v>158700.68</v>
      </c>
      <c r="N62" s="6">
        <f t="shared" si="0"/>
        <v>6.0986145513503294E-2</v>
      </c>
      <c r="O62" s="69"/>
      <c r="P62" s="69"/>
      <c r="Q62" s="69"/>
      <c r="R62" s="69"/>
      <c r="S62" s="69"/>
      <c r="T62" s="69"/>
      <c r="U62" s="69"/>
      <c r="V62" s="70">
        <f>SUM(V63:V68)</f>
        <v>198579.78000000003</v>
      </c>
      <c r="W62" s="69"/>
      <c r="X62" s="69"/>
      <c r="Y62" s="69"/>
      <c r="Z62" s="69"/>
      <c r="AA62" s="69"/>
      <c r="AB62" s="70">
        <f>SUM(AB63:AB68)</f>
        <v>198579.78000000003</v>
      </c>
    </row>
    <row r="63" spans="1:28" ht="65.099999999999994" customHeight="1" x14ac:dyDescent="0.2">
      <c r="A63" s="7" t="s">
        <v>175</v>
      </c>
      <c r="B63" s="8" t="s">
        <v>176</v>
      </c>
      <c r="C63" s="7" t="s">
        <v>23</v>
      </c>
      <c r="D63" s="7" t="s">
        <v>177</v>
      </c>
      <c r="E63" s="9" t="s">
        <v>65</v>
      </c>
      <c r="F63" s="8">
        <v>25</v>
      </c>
      <c r="G63" s="54">
        <v>1276.53</v>
      </c>
      <c r="H63" s="54">
        <v>256.16000000000003</v>
      </c>
      <c r="I63" s="54">
        <v>1020.37</v>
      </c>
      <c r="J63" s="54">
        <f t="shared" ref="J63:J68" si="81">TRUNC(G63 * (1 + 0 / 100), 2)</f>
        <v>1276.53</v>
      </c>
      <c r="K63" s="54">
        <f t="shared" ref="K63:K68" si="82">TRUNC(F63 * H63, 2)</f>
        <v>6404</v>
      </c>
      <c r="L63" s="54">
        <f t="shared" ref="L63:L68" si="83">M63 - K63</f>
        <v>25509.25</v>
      </c>
      <c r="M63" s="54">
        <f t="shared" ref="M63:M68" si="84">TRUNC(F63 * J63, 2)</f>
        <v>31913.25</v>
      </c>
      <c r="N63" s="10">
        <f t="shared" si="0"/>
        <v>1.2263754057694075E-2</v>
      </c>
      <c r="O63" s="71" t="s">
        <v>359</v>
      </c>
      <c r="P63" s="67">
        <f>IF(O63="BDI  PADRÃO",'BDI 2025'!$D$16,'BDI 2025'!$F$16)</f>
        <v>0.25130000000000002</v>
      </c>
      <c r="Q63" s="68">
        <f t="shared" si="65"/>
        <v>320.52999999999997</v>
      </c>
      <c r="R63" s="68">
        <f t="shared" si="66"/>
        <v>1276.79</v>
      </c>
      <c r="S63" s="68">
        <f t="shared" si="67"/>
        <v>1597.32</v>
      </c>
      <c r="T63" s="68">
        <f t="shared" ref="T63:T68" si="85">TRUNC(Q63*$F63,2)</f>
        <v>8013.25</v>
      </c>
      <c r="U63" s="68">
        <f t="shared" si="69"/>
        <v>31919.75</v>
      </c>
      <c r="V63" s="68">
        <f t="shared" ref="V63:V68" si="86">TRUNC(S63*$F63,2)</f>
        <v>39933</v>
      </c>
      <c r="W63" s="68">
        <f t="shared" si="71"/>
        <v>320.52999999999997</v>
      </c>
      <c r="X63" s="68">
        <f t="shared" si="72"/>
        <v>1276.79</v>
      </c>
      <c r="Y63" s="68">
        <f t="shared" si="73"/>
        <v>1597.32</v>
      </c>
      <c r="Z63" s="68">
        <f t="shared" ref="Z63:Z68" si="87">TRUNC(W63*$F63,2)</f>
        <v>8013.25</v>
      </c>
      <c r="AA63" s="68">
        <f t="shared" si="75"/>
        <v>31919.75</v>
      </c>
      <c r="AB63" s="68">
        <f t="shared" ref="AB63:AB68" si="88">TRUNC(Y63*$F63,2)</f>
        <v>39933</v>
      </c>
    </row>
    <row r="64" spans="1:28" ht="39" customHeight="1" x14ac:dyDescent="0.2">
      <c r="A64" s="7" t="s">
        <v>178</v>
      </c>
      <c r="B64" s="8" t="s">
        <v>179</v>
      </c>
      <c r="C64" s="7" t="s">
        <v>23</v>
      </c>
      <c r="D64" s="7" t="s">
        <v>180</v>
      </c>
      <c r="E64" s="9" t="s">
        <v>32</v>
      </c>
      <c r="F64" s="8">
        <v>558.04</v>
      </c>
      <c r="G64" s="54">
        <v>29.37</v>
      </c>
      <c r="H64" s="54">
        <v>14.01</v>
      </c>
      <c r="I64" s="54">
        <v>15.36</v>
      </c>
      <c r="J64" s="54">
        <f t="shared" si="81"/>
        <v>29.37</v>
      </c>
      <c r="K64" s="54">
        <f t="shared" si="82"/>
        <v>7818.14</v>
      </c>
      <c r="L64" s="54">
        <f t="shared" si="83"/>
        <v>8571.4900000000016</v>
      </c>
      <c r="M64" s="54">
        <f t="shared" si="84"/>
        <v>16389.63</v>
      </c>
      <c r="N64" s="10">
        <f t="shared" si="0"/>
        <v>6.2982739588291559E-3</v>
      </c>
      <c r="O64" s="71" t="s">
        <v>359</v>
      </c>
      <c r="P64" s="67">
        <f>IF(O64="BDI  PADRÃO",'BDI 2025'!$D$16,'BDI 2025'!$F$16)</f>
        <v>0.25130000000000002</v>
      </c>
      <c r="Q64" s="68">
        <f t="shared" si="65"/>
        <v>17.53</v>
      </c>
      <c r="R64" s="68">
        <f t="shared" si="66"/>
        <v>19.22</v>
      </c>
      <c r="S64" s="68">
        <f t="shared" si="67"/>
        <v>36.75</v>
      </c>
      <c r="T64" s="68">
        <f t="shared" si="85"/>
        <v>9782.44</v>
      </c>
      <c r="U64" s="68">
        <f t="shared" si="69"/>
        <v>10725.53</v>
      </c>
      <c r="V64" s="68">
        <f t="shared" si="86"/>
        <v>20507.97</v>
      </c>
      <c r="W64" s="68">
        <f t="shared" si="71"/>
        <v>17.53</v>
      </c>
      <c r="X64" s="68">
        <f t="shared" si="72"/>
        <v>19.22</v>
      </c>
      <c r="Y64" s="68">
        <f t="shared" si="73"/>
        <v>36.75</v>
      </c>
      <c r="Z64" s="68">
        <f t="shared" si="87"/>
        <v>9782.44</v>
      </c>
      <c r="AA64" s="68">
        <f t="shared" si="75"/>
        <v>10725.53</v>
      </c>
      <c r="AB64" s="68">
        <f t="shared" si="88"/>
        <v>20507.97</v>
      </c>
    </row>
    <row r="65" spans="1:28" ht="24" customHeight="1" x14ac:dyDescent="0.2">
      <c r="A65" s="7" t="s">
        <v>181</v>
      </c>
      <c r="B65" s="8" t="s">
        <v>182</v>
      </c>
      <c r="C65" s="7" t="s">
        <v>60</v>
      </c>
      <c r="D65" s="7" t="s">
        <v>183</v>
      </c>
      <c r="E65" s="9" t="s">
        <v>32</v>
      </c>
      <c r="F65" s="8">
        <v>152.86000000000001</v>
      </c>
      <c r="G65" s="54">
        <v>392.78</v>
      </c>
      <c r="H65" s="54">
        <v>51.1</v>
      </c>
      <c r="I65" s="54">
        <v>341.68</v>
      </c>
      <c r="J65" s="54">
        <f t="shared" si="81"/>
        <v>392.78</v>
      </c>
      <c r="K65" s="54">
        <f t="shared" si="82"/>
        <v>7811.14</v>
      </c>
      <c r="L65" s="54">
        <f t="shared" si="83"/>
        <v>52229.21</v>
      </c>
      <c r="M65" s="54">
        <f t="shared" si="84"/>
        <v>60040.35</v>
      </c>
      <c r="N65" s="10">
        <f t="shared" si="0"/>
        <v>2.3072550929092852E-2</v>
      </c>
      <c r="O65" s="71" t="s">
        <v>359</v>
      </c>
      <c r="P65" s="67">
        <f>IF(O65="BDI  PADRÃO",'BDI 2025'!$D$16,'BDI 2025'!$F$16)</f>
        <v>0.25130000000000002</v>
      </c>
      <c r="Q65" s="68">
        <f t="shared" si="65"/>
        <v>63.94</v>
      </c>
      <c r="R65" s="68">
        <f t="shared" si="66"/>
        <v>427.54</v>
      </c>
      <c r="S65" s="68">
        <f t="shared" si="67"/>
        <v>491.48</v>
      </c>
      <c r="T65" s="68">
        <f t="shared" si="85"/>
        <v>9773.86</v>
      </c>
      <c r="U65" s="68">
        <f t="shared" si="69"/>
        <v>65353.770000000004</v>
      </c>
      <c r="V65" s="68">
        <f t="shared" si="86"/>
        <v>75127.63</v>
      </c>
      <c r="W65" s="68">
        <f t="shared" si="71"/>
        <v>63.94</v>
      </c>
      <c r="X65" s="68">
        <f t="shared" si="72"/>
        <v>427.54</v>
      </c>
      <c r="Y65" s="68">
        <f t="shared" si="73"/>
        <v>491.48</v>
      </c>
      <c r="Z65" s="68">
        <f t="shared" si="87"/>
        <v>9773.86</v>
      </c>
      <c r="AA65" s="68">
        <f t="shared" si="75"/>
        <v>65353.770000000004</v>
      </c>
      <c r="AB65" s="68">
        <f t="shared" si="88"/>
        <v>75127.63</v>
      </c>
    </row>
    <row r="66" spans="1:28" ht="39" customHeight="1" x14ac:dyDescent="0.2">
      <c r="A66" s="7" t="s">
        <v>184</v>
      </c>
      <c r="B66" s="8" t="s">
        <v>185</v>
      </c>
      <c r="C66" s="7" t="s">
        <v>23</v>
      </c>
      <c r="D66" s="7" t="s">
        <v>186</v>
      </c>
      <c r="E66" s="9" t="s">
        <v>32</v>
      </c>
      <c r="F66" s="8">
        <v>113.24</v>
      </c>
      <c r="G66" s="54">
        <v>301.05</v>
      </c>
      <c r="H66" s="54">
        <v>26.25</v>
      </c>
      <c r="I66" s="54">
        <v>274.8</v>
      </c>
      <c r="J66" s="54">
        <f t="shared" si="81"/>
        <v>301.05</v>
      </c>
      <c r="K66" s="54">
        <f t="shared" si="82"/>
        <v>2972.55</v>
      </c>
      <c r="L66" s="54">
        <f t="shared" si="83"/>
        <v>31118.350000000002</v>
      </c>
      <c r="M66" s="54">
        <f t="shared" si="84"/>
        <v>34090.9</v>
      </c>
      <c r="N66" s="10">
        <f t="shared" si="0"/>
        <v>1.3100590294170697E-2</v>
      </c>
      <c r="O66" s="71" t="s">
        <v>359</v>
      </c>
      <c r="P66" s="67">
        <f>IF(O66="BDI  PADRÃO",'BDI 2025'!$D$16,'BDI 2025'!$F$16)</f>
        <v>0.25130000000000002</v>
      </c>
      <c r="Q66" s="68">
        <f t="shared" si="65"/>
        <v>32.840000000000003</v>
      </c>
      <c r="R66" s="68">
        <f t="shared" si="66"/>
        <v>343.86</v>
      </c>
      <c r="S66" s="68">
        <f t="shared" si="67"/>
        <v>376.7</v>
      </c>
      <c r="T66" s="68">
        <f t="shared" si="85"/>
        <v>3718.8</v>
      </c>
      <c r="U66" s="68">
        <f t="shared" si="69"/>
        <v>38938.699999999997</v>
      </c>
      <c r="V66" s="68">
        <f t="shared" si="86"/>
        <v>42657.5</v>
      </c>
      <c r="W66" s="68">
        <f t="shared" si="71"/>
        <v>32.840000000000003</v>
      </c>
      <c r="X66" s="68">
        <f t="shared" si="72"/>
        <v>343.86</v>
      </c>
      <c r="Y66" s="68">
        <f t="shared" si="73"/>
        <v>376.7</v>
      </c>
      <c r="Z66" s="68">
        <f t="shared" si="87"/>
        <v>3718.8</v>
      </c>
      <c r="AA66" s="68">
        <f t="shared" si="75"/>
        <v>38938.699999999997</v>
      </c>
      <c r="AB66" s="68">
        <f t="shared" si="88"/>
        <v>42657.5</v>
      </c>
    </row>
    <row r="67" spans="1:28" ht="51.95" customHeight="1" x14ac:dyDescent="0.2">
      <c r="A67" s="7" t="s">
        <v>187</v>
      </c>
      <c r="B67" s="8" t="s">
        <v>188</v>
      </c>
      <c r="C67" s="7" t="s">
        <v>60</v>
      </c>
      <c r="D67" s="7" t="s">
        <v>189</v>
      </c>
      <c r="E67" s="9" t="s">
        <v>32</v>
      </c>
      <c r="F67" s="8">
        <v>79.260000000000005</v>
      </c>
      <c r="G67" s="54">
        <v>32.450000000000003</v>
      </c>
      <c r="H67" s="54">
        <v>9.9700000000000006</v>
      </c>
      <c r="I67" s="54">
        <v>22.48</v>
      </c>
      <c r="J67" s="54">
        <f t="shared" si="81"/>
        <v>32.450000000000003</v>
      </c>
      <c r="K67" s="54">
        <f t="shared" si="82"/>
        <v>790.22</v>
      </c>
      <c r="L67" s="54">
        <f t="shared" si="83"/>
        <v>1781.76</v>
      </c>
      <c r="M67" s="54">
        <f t="shared" si="84"/>
        <v>2571.98</v>
      </c>
      <c r="N67" s="10">
        <f t="shared" si="0"/>
        <v>9.8837097949309484E-4</v>
      </c>
      <c r="O67" s="71" t="s">
        <v>359</v>
      </c>
      <c r="P67" s="67">
        <f>IF(O67="BDI  PADRÃO",'BDI 2025'!$D$16,'BDI 2025'!$F$16)</f>
        <v>0.25130000000000002</v>
      </c>
      <c r="Q67" s="68">
        <f t="shared" si="65"/>
        <v>12.47</v>
      </c>
      <c r="R67" s="68">
        <f t="shared" si="66"/>
        <v>28.130000000000003</v>
      </c>
      <c r="S67" s="68">
        <f t="shared" si="67"/>
        <v>40.6</v>
      </c>
      <c r="T67" s="68">
        <f t="shared" si="85"/>
        <v>988.37</v>
      </c>
      <c r="U67" s="68">
        <f t="shared" si="69"/>
        <v>2229.58</v>
      </c>
      <c r="V67" s="68">
        <f t="shared" si="86"/>
        <v>3217.95</v>
      </c>
      <c r="W67" s="68">
        <f t="shared" si="71"/>
        <v>12.47</v>
      </c>
      <c r="X67" s="68">
        <f t="shared" si="72"/>
        <v>28.130000000000003</v>
      </c>
      <c r="Y67" s="68">
        <f t="shared" si="73"/>
        <v>40.6</v>
      </c>
      <c r="Z67" s="68">
        <f t="shared" si="87"/>
        <v>988.37</v>
      </c>
      <c r="AA67" s="68">
        <f t="shared" si="75"/>
        <v>2229.58</v>
      </c>
      <c r="AB67" s="68">
        <f t="shared" si="88"/>
        <v>3217.95</v>
      </c>
    </row>
    <row r="68" spans="1:28" ht="24" customHeight="1" x14ac:dyDescent="0.2">
      <c r="A68" s="7" t="s">
        <v>190</v>
      </c>
      <c r="B68" s="8" t="s">
        <v>191</v>
      </c>
      <c r="C68" s="7" t="s">
        <v>60</v>
      </c>
      <c r="D68" s="7" t="s">
        <v>192</v>
      </c>
      <c r="E68" s="9" t="s">
        <v>193</v>
      </c>
      <c r="F68" s="8">
        <v>41.95</v>
      </c>
      <c r="G68" s="54">
        <v>326.45</v>
      </c>
      <c r="H68" s="54">
        <v>42.17</v>
      </c>
      <c r="I68" s="54">
        <v>284.27999999999997</v>
      </c>
      <c r="J68" s="54">
        <f t="shared" si="81"/>
        <v>326.45</v>
      </c>
      <c r="K68" s="54">
        <f t="shared" si="82"/>
        <v>1769.03</v>
      </c>
      <c r="L68" s="54">
        <f t="shared" si="83"/>
        <v>11925.539999999999</v>
      </c>
      <c r="M68" s="54">
        <f t="shared" si="84"/>
        <v>13694.57</v>
      </c>
      <c r="N68" s="10">
        <f t="shared" si="0"/>
        <v>5.26260529422342E-3</v>
      </c>
      <c r="O68" s="71" t="s">
        <v>359</v>
      </c>
      <c r="P68" s="67">
        <f>IF(O68="BDI  PADRÃO",'BDI 2025'!$D$16,'BDI 2025'!$F$16)</f>
        <v>0.25130000000000002</v>
      </c>
      <c r="Q68" s="68">
        <f t="shared" si="65"/>
        <v>52.76</v>
      </c>
      <c r="R68" s="68">
        <f t="shared" si="66"/>
        <v>355.72</v>
      </c>
      <c r="S68" s="68">
        <f t="shared" si="67"/>
        <v>408.48</v>
      </c>
      <c r="T68" s="68">
        <f t="shared" si="85"/>
        <v>2213.2800000000002</v>
      </c>
      <c r="U68" s="68">
        <f t="shared" si="69"/>
        <v>14922.449999999999</v>
      </c>
      <c r="V68" s="68">
        <f t="shared" si="86"/>
        <v>17135.73</v>
      </c>
      <c r="W68" s="68">
        <f t="shared" si="71"/>
        <v>52.76</v>
      </c>
      <c r="X68" s="68">
        <f t="shared" si="72"/>
        <v>355.72</v>
      </c>
      <c r="Y68" s="68">
        <f t="shared" si="73"/>
        <v>408.48</v>
      </c>
      <c r="Z68" s="68">
        <f t="shared" si="87"/>
        <v>2213.2800000000002</v>
      </c>
      <c r="AA68" s="68">
        <f t="shared" si="75"/>
        <v>14922.449999999999</v>
      </c>
      <c r="AB68" s="68">
        <f t="shared" si="88"/>
        <v>17135.73</v>
      </c>
    </row>
    <row r="69" spans="1:28" ht="24" customHeight="1" x14ac:dyDescent="0.2">
      <c r="A69" s="4" t="s">
        <v>194</v>
      </c>
      <c r="B69" s="4"/>
      <c r="C69" s="4"/>
      <c r="D69" s="4" t="s">
        <v>85</v>
      </c>
      <c r="E69" s="4"/>
      <c r="F69" s="5"/>
      <c r="G69" s="52"/>
      <c r="H69" s="52"/>
      <c r="I69" s="52"/>
      <c r="J69" s="52"/>
      <c r="K69" s="52"/>
      <c r="L69" s="52"/>
      <c r="M69" s="53">
        <v>16124.63</v>
      </c>
      <c r="N69" s="6">
        <f t="shared" si="0"/>
        <v>6.1964386764530597E-3</v>
      </c>
      <c r="O69" s="69"/>
      <c r="P69" s="69"/>
      <c r="Q69" s="69"/>
      <c r="R69" s="69"/>
      <c r="S69" s="69"/>
      <c r="T69" s="69"/>
      <c r="U69" s="69"/>
      <c r="V69" s="70">
        <f>SUM(V70:V81)</f>
        <v>20176.5</v>
      </c>
      <c r="W69" s="69"/>
      <c r="X69" s="69"/>
      <c r="Y69" s="69"/>
      <c r="Z69" s="69"/>
      <c r="AA69" s="69"/>
      <c r="AB69" s="70">
        <f>SUM(AB70:AB81)</f>
        <v>20176.5</v>
      </c>
    </row>
    <row r="70" spans="1:28" ht="24" customHeight="1" x14ac:dyDescent="0.2">
      <c r="A70" s="7" t="s">
        <v>195</v>
      </c>
      <c r="B70" s="8" t="s">
        <v>196</v>
      </c>
      <c r="C70" s="7" t="s">
        <v>48</v>
      </c>
      <c r="D70" s="7" t="s">
        <v>197</v>
      </c>
      <c r="E70" s="9" t="s">
        <v>32</v>
      </c>
      <c r="F70" s="8">
        <v>43.58</v>
      </c>
      <c r="G70" s="54">
        <v>123.81</v>
      </c>
      <c r="H70" s="54">
        <v>36.5</v>
      </c>
      <c r="I70" s="54">
        <v>87.31</v>
      </c>
      <c r="J70" s="54">
        <f t="shared" ref="J70:J81" si="89">TRUNC(G70 * (1 + 0 / 100), 2)</f>
        <v>123.81</v>
      </c>
      <c r="K70" s="54">
        <f t="shared" ref="K70:K81" si="90">TRUNC(F70 * H70, 2)</f>
        <v>1590.67</v>
      </c>
      <c r="L70" s="54">
        <f t="shared" ref="L70:L81" si="91">M70 - K70</f>
        <v>3804.96</v>
      </c>
      <c r="M70" s="54">
        <f t="shared" ref="M70:M81" si="92">TRUNC(F70 * J70, 2)</f>
        <v>5395.63</v>
      </c>
      <c r="N70" s="10">
        <f t="shared" ref="N70:N125" si="93">M70 / 2602241.52</f>
        <v>2.0734547345167254E-3</v>
      </c>
      <c r="O70" s="71" t="s">
        <v>359</v>
      </c>
      <c r="P70" s="67">
        <f>IF(O70="BDI  PADRÃO",'BDI 2025'!$D$16,'BDI 2025'!$F$16)</f>
        <v>0.25130000000000002</v>
      </c>
      <c r="Q70" s="68">
        <f t="shared" si="65"/>
        <v>45.67</v>
      </c>
      <c r="R70" s="68">
        <f t="shared" si="66"/>
        <v>109.24999999999999</v>
      </c>
      <c r="S70" s="68">
        <f t="shared" si="67"/>
        <v>154.91999999999999</v>
      </c>
      <c r="T70" s="68">
        <f t="shared" ref="T70:T81" si="94">TRUNC(Q70*$F70,2)</f>
        <v>1990.29</v>
      </c>
      <c r="U70" s="68">
        <f t="shared" si="69"/>
        <v>4761.12</v>
      </c>
      <c r="V70" s="68">
        <f t="shared" ref="V70:V81" si="95">TRUNC(S70*$F70,2)</f>
        <v>6751.41</v>
      </c>
      <c r="W70" s="68">
        <f t="shared" si="71"/>
        <v>45.67</v>
      </c>
      <c r="X70" s="68">
        <f t="shared" si="72"/>
        <v>109.24999999999999</v>
      </c>
      <c r="Y70" s="68">
        <f t="shared" si="73"/>
        <v>154.91999999999999</v>
      </c>
      <c r="Z70" s="68">
        <f t="shared" ref="Z70:Z81" si="96">TRUNC(W70*$F70,2)</f>
        <v>1990.29</v>
      </c>
      <c r="AA70" s="68">
        <f t="shared" si="75"/>
        <v>4761.12</v>
      </c>
      <c r="AB70" s="68">
        <f t="shared" ref="AB70:AB81" si="97">TRUNC(Y70*$F70,2)</f>
        <v>6751.41</v>
      </c>
    </row>
    <row r="71" spans="1:28" ht="65.099999999999994" customHeight="1" x14ac:dyDescent="0.2">
      <c r="A71" s="7" t="s">
        <v>198</v>
      </c>
      <c r="B71" s="8" t="s">
        <v>199</v>
      </c>
      <c r="C71" s="7" t="s">
        <v>23</v>
      </c>
      <c r="D71" s="7" t="s">
        <v>200</v>
      </c>
      <c r="E71" s="9" t="s">
        <v>65</v>
      </c>
      <c r="F71" s="8">
        <v>2</v>
      </c>
      <c r="G71" s="54">
        <v>1370.6</v>
      </c>
      <c r="H71" s="54">
        <v>260.79000000000002</v>
      </c>
      <c r="I71" s="54">
        <v>1109.81</v>
      </c>
      <c r="J71" s="54">
        <f t="shared" si="89"/>
        <v>1370.6</v>
      </c>
      <c r="K71" s="54">
        <f t="shared" si="90"/>
        <v>521.58000000000004</v>
      </c>
      <c r="L71" s="54">
        <f t="shared" si="91"/>
        <v>2219.62</v>
      </c>
      <c r="M71" s="54">
        <f t="shared" si="92"/>
        <v>2741.2</v>
      </c>
      <c r="N71" s="10">
        <f t="shared" si="93"/>
        <v>1.0533995322617095E-3</v>
      </c>
      <c r="O71" s="71" t="s">
        <v>359</v>
      </c>
      <c r="P71" s="67">
        <f>IF(O71="BDI  PADRÃO",'BDI 2025'!$D$16,'BDI 2025'!$F$16)</f>
        <v>0.25130000000000002</v>
      </c>
      <c r="Q71" s="68">
        <f t="shared" si="65"/>
        <v>326.32</v>
      </c>
      <c r="R71" s="68">
        <f t="shared" si="66"/>
        <v>1388.71</v>
      </c>
      <c r="S71" s="68">
        <f t="shared" si="67"/>
        <v>1715.03</v>
      </c>
      <c r="T71" s="68">
        <f t="shared" si="94"/>
        <v>652.64</v>
      </c>
      <c r="U71" s="68">
        <f t="shared" si="69"/>
        <v>2777.42</v>
      </c>
      <c r="V71" s="68">
        <f t="shared" si="95"/>
        <v>3430.06</v>
      </c>
      <c r="W71" s="68">
        <f t="shared" si="71"/>
        <v>326.32</v>
      </c>
      <c r="X71" s="68">
        <f t="shared" si="72"/>
        <v>1388.71</v>
      </c>
      <c r="Y71" s="68">
        <f t="shared" si="73"/>
        <v>1715.03</v>
      </c>
      <c r="Z71" s="68">
        <f t="shared" si="96"/>
        <v>652.64</v>
      </c>
      <c r="AA71" s="68">
        <f t="shared" si="75"/>
        <v>2777.42</v>
      </c>
      <c r="AB71" s="68">
        <f t="shared" si="97"/>
        <v>3430.06</v>
      </c>
    </row>
    <row r="72" spans="1:28" ht="39" customHeight="1" x14ac:dyDescent="0.2">
      <c r="A72" s="7" t="s">
        <v>201</v>
      </c>
      <c r="B72" s="8" t="s">
        <v>179</v>
      </c>
      <c r="C72" s="7" t="s">
        <v>23</v>
      </c>
      <c r="D72" s="7" t="s">
        <v>180</v>
      </c>
      <c r="E72" s="9" t="s">
        <v>32</v>
      </c>
      <c r="F72" s="8">
        <v>9.4499999999999993</v>
      </c>
      <c r="G72" s="54">
        <v>29.37</v>
      </c>
      <c r="H72" s="54">
        <v>14.01</v>
      </c>
      <c r="I72" s="54">
        <v>15.36</v>
      </c>
      <c r="J72" s="54">
        <f t="shared" si="89"/>
        <v>29.37</v>
      </c>
      <c r="K72" s="54">
        <f t="shared" si="90"/>
        <v>132.38999999999999</v>
      </c>
      <c r="L72" s="54">
        <f t="shared" si="91"/>
        <v>145.15000000000003</v>
      </c>
      <c r="M72" s="54">
        <f t="shared" si="92"/>
        <v>277.54000000000002</v>
      </c>
      <c r="N72" s="10">
        <f t="shared" si="93"/>
        <v>1.0665420479494925E-4</v>
      </c>
      <c r="O72" s="71" t="s">
        <v>359</v>
      </c>
      <c r="P72" s="67">
        <f>IF(O72="BDI  PADRÃO",'BDI 2025'!$D$16,'BDI 2025'!$F$16)</f>
        <v>0.25130000000000002</v>
      </c>
      <c r="Q72" s="68">
        <f t="shared" si="65"/>
        <v>17.53</v>
      </c>
      <c r="R72" s="68">
        <f t="shared" si="66"/>
        <v>19.22</v>
      </c>
      <c r="S72" s="68">
        <f t="shared" si="67"/>
        <v>36.75</v>
      </c>
      <c r="T72" s="68">
        <f t="shared" si="94"/>
        <v>165.65</v>
      </c>
      <c r="U72" s="68">
        <f t="shared" si="69"/>
        <v>181.62999999999997</v>
      </c>
      <c r="V72" s="68">
        <f t="shared" si="95"/>
        <v>347.28</v>
      </c>
      <c r="W72" s="68">
        <f t="shared" si="71"/>
        <v>17.53</v>
      </c>
      <c r="X72" s="68">
        <f t="shared" si="72"/>
        <v>19.22</v>
      </c>
      <c r="Y72" s="68">
        <f t="shared" si="73"/>
        <v>36.75</v>
      </c>
      <c r="Z72" s="68">
        <f t="shared" si="96"/>
        <v>165.65</v>
      </c>
      <c r="AA72" s="68">
        <f t="shared" si="75"/>
        <v>181.62999999999997</v>
      </c>
      <c r="AB72" s="68">
        <f t="shared" si="97"/>
        <v>347.28</v>
      </c>
    </row>
    <row r="73" spans="1:28" ht="24" customHeight="1" x14ac:dyDescent="0.2">
      <c r="A73" s="7" t="s">
        <v>202</v>
      </c>
      <c r="B73" s="8" t="s">
        <v>203</v>
      </c>
      <c r="C73" s="7" t="s">
        <v>48</v>
      </c>
      <c r="D73" s="7" t="s">
        <v>204</v>
      </c>
      <c r="E73" s="9" t="s">
        <v>65</v>
      </c>
      <c r="F73" s="8">
        <v>4</v>
      </c>
      <c r="G73" s="54">
        <v>232.17</v>
      </c>
      <c r="H73" s="54">
        <v>16.12</v>
      </c>
      <c r="I73" s="54">
        <v>216.05</v>
      </c>
      <c r="J73" s="54">
        <f t="shared" si="89"/>
        <v>232.17</v>
      </c>
      <c r="K73" s="54">
        <f t="shared" si="90"/>
        <v>64.48</v>
      </c>
      <c r="L73" s="54">
        <f t="shared" si="91"/>
        <v>864.19999999999993</v>
      </c>
      <c r="M73" s="54">
        <f t="shared" si="92"/>
        <v>928.68</v>
      </c>
      <c r="N73" s="10">
        <f t="shared" si="93"/>
        <v>3.5687694353597125E-4</v>
      </c>
      <c r="O73" s="71" t="s">
        <v>359</v>
      </c>
      <c r="P73" s="67">
        <f>IF(O73="BDI  PADRÃO",'BDI 2025'!$D$16,'BDI 2025'!$F$16)</f>
        <v>0.25130000000000002</v>
      </c>
      <c r="Q73" s="68">
        <f t="shared" si="65"/>
        <v>20.170000000000002</v>
      </c>
      <c r="R73" s="68">
        <f t="shared" si="66"/>
        <v>270.33999999999997</v>
      </c>
      <c r="S73" s="68">
        <f t="shared" si="67"/>
        <v>290.51</v>
      </c>
      <c r="T73" s="68">
        <f t="shared" si="94"/>
        <v>80.680000000000007</v>
      </c>
      <c r="U73" s="68">
        <f t="shared" si="69"/>
        <v>1081.3599999999999</v>
      </c>
      <c r="V73" s="68">
        <f t="shared" si="95"/>
        <v>1162.04</v>
      </c>
      <c r="W73" s="68">
        <f t="shared" si="71"/>
        <v>20.170000000000002</v>
      </c>
      <c r="X73" s="68">
        <f t="shared" si="72"/>
        <v>270.33999999999997</v>
      </c>
      <c r="Y73" s="68">
        <f t="shared" si="73"/>
        <v>290.51</v>
      </c>
      <c r="Z73" s="68">
        <f t="shared" si="96"/>
        <v>80.680000000000007</v>
      </c>
      <c r="AA73" s="68">
        <f t="shared" si="75"/>
        <v>1081.3599999999999</v>
      </c>
      <c r="AB73" s="68">
        <f t="shared" si="97"/>
        <v>1162.04</v>
      </c>
    </row>
    <row r="74" spans="1:28" ht="51.95" customHeight="1" x14ac:dyDescent="0.2">
      <c r="A74" s="7" t="s">
        <v>205</v>
      </c>
      <c r="B74" s="8" t="s">
        <v>206</v>
      </c>
      <c r="C74" s="7" t="s">
        <v>23</v>
      </c>
      <c r="D74" s="7" t="s">
        <v>207</v>
      </c>
      <c r="E74" s="9" t="s">
        <v>65</v>
      </c>
      <c r="F74" s="8">
        <v>2</v>
      </c>
      <c r="G74" s="54">
        <v>892.05</v>
      </c>
      <c r="H74" s="54">
        <v>38.130000000000003</v>
      </c>
      <c r="I74" s="54">
        <v>853.92</v>
      </c>
      <c r="J74" s="54">
        <f t="shared" si="89"/>
        <v>892.05</v>
      </c>
      <c r="K74" s="54">
        <f t="shared" si="90"/>
        <v>76.260000000000005</v>
      </c>
      <c r="L74" s="54">
        <f t="shared" si="91"/>
        <v>1707.84</v>
      </c>
      <c r="M74" s="54">
        <f t="shared" si="92"/>
        <v>1784.1</v>
      </c>
      <c r="N74" s="10">
        <f t="shared" si="93"/>
        <v>6.8560123504600749E-4</v>
      </c>
      <c r="O74" s="71" t="s">
        <v>359</v>
      </c>
      <c r="P74" s="67">
        <f>IF(O74="BDI  PADRÃO",'BDI 2025'!$D$16,'BDI 2025'!$F$16)</f>
        <v>0.25130000000000002</v>
      </c>
      <c r="Q74" s="68">
        <f t="shared" si="65"/>
        <v>47.71</v>
      </c>
      <c r="R74" s="68">
        <f t="shared" si="66"/>
        <v>1068.51</v>
      </c>
      <c r="S74" s="68">
        <f t="shared" si="67"/>
        <v>1116.22</v>
      </c>
      <c r="T74" s="68">
        <f t="shared" si="94"/>
        <v>95.42</v>
      </c>
      <c r="U74" s="68">
        <f t="shared" si="69"/>
        <v>2137.02</v>
      </c>
      <c r="V74" s="68">
        <f t="shared" si="95"/>
        <v>2232.44</v>
      </c>
      <c r="W74" s="68">
        <f t="shared" si="71"/>
        <v>47.71</v>
      </c>
      <c r="X74" s="68">
        <f t="shared" si="72"/>
        <v>1068.51</v>
      </c>
      <c r="Y74" s="68">
        <f t="shared" si="73"/>
        <v>1116.22</v>
      </c>
      <c r="Z74" s="68">
        <f t="shared" si="96"/>
        <v>95.42</v>
      </c>
      <c r="AA74" s="68">
        <f t="shared" si="75"/>
        <v>2137.02</v>
      </c>
      <c r="AB74" s="68">
        <f t="shared" si="97"/>
        <v>2232.44</v>
      </c>
    </row>
    <row r="75" spans="1:28" ht="26.1" customHeight="1" x14ac:dyDescent="0.2">
      <c r="A75" s="7" t="s">
        <v>208</v>
      </c>
      <c r="B75" s="8" t="s">
        <v>209</v>
      </c>
      <c r="C75" s="7" t="s">
        <v>23</v>
      </c>
      <c r="D75" s="7" t="s">
        <v>210</v>
      </c>
      <c r="E75" s="9" t="s">
        <v>65</v>
      </c>
      <c r="F75" s="8">
        <v>4</v>
      </c>
      <c r="G75" s="54">
        <v>233.29</v>
      </c>
      <c r="H75" s="54">
        <v>28.57</v>
      </c>
      <c r="I75" s="54">
        <v>204.72</v>
      </c>
      <c r="J75" s="54">
        <f t="shared" si="89"/>
        <v>233.29</v>
      </c>
      <c r="K75" s="54">
        <f t="shared" si="90"/>
        <v>114.28</v>
      </c>
      <c r="L75" s="54">
        <f t="shared" si="91"/>
        <v>818.88</v>
      </c>
      <c r="M75" s="54">
        <f t="shared" si="92"/>
        <v>933.16</v>
      </c>
      <c r="N75" s="10">
        <f t="shared" si="93"/>
        <v>3.585985362342539E-4</v>
      </c>
      <c r="O75" s="71" t="s">
        <v>359</v>
      </c>
      <c r="P75" s="67">
        <f>IF(O75="BDI  PADRÃO",'BDI 2025'!$D$16,'BDI 2025'!$F$16)</f>
        <v>0.25130000000000002</v>
      </c>
      <c r="Q75" s="68">
        <f t="shared" si="65"/>
        <v>35.74</v>
      </c>
      <c r="R75" s="68">
        <f t="shared" si="66"/>
        <v>256.17</v>
      </c>
      <c r="S75" s="68">
        <f t="shared" si="67"/>
        <v>291.91000000000003</v>
      </c>
      <c r="T75" s="68">
        <f t="shared" si="94"/>
        <v>142.96</v>
      </c>
      <c r="U75" s="68">
        <f t="shared" si="69"/>
        <v>1024.68</v>
      </c>
      <c r="V75" s="68">
        <f t="shared" si="95"/>
        <v>1167.6400000000001</v>
      </c>
      <c r="W75" s="68">
        <f t="shared" si="71"/>
        <v>35.74</v>
      </c>
      <c r="X75" s="68">
        <f t="shared" si="72"/>
        <v>256.17</v>
      </c>
      <c r="Y75" s="68">
        <f t="shared" si="73"/>
        <v>291.91000000000003</v>
      </c>
      <c r="Z75" s="68">
        <f t="shared" si="96"/>
        <v>142.96</v>
      </c>
      <c r="AA75" s="68">
        <f t="shared" si="75"/>
        <v>1024.68</v>
      </c>
      <c r="AB75" s="68">
        <f t="shared" si="97"/>
        <v>1167.6400000000001</v>
      </c>
    </row>
    <row r="76" spans="1:28" ht="39" customHeight="1" x14ac:dyDescent="0.2">
      <c r="A76" s="7" t="s">
        <v>211</v>
      </c>
      <c r="B76" s="8" t="s">
        <v>212</v>
      </c>
      <c r="C76" s="7" t="s">
        <v>23</v>
      </c>
      <c r="D76" s="7" t="s">
        <v>213</v>
      </c>
      <c r="E76" s="9" t="s">
        <v>65</v>
      </c>
      <c r="F76" s="8">
        <v>2</v>
      </c>
      <c r="G76" s="54">
        <v>252.39</v>
      </c>
      <c r="H76" s="54">
        <v>28.57</v>
      </c>
      <c r="I76" s="54">
        <v>223.82</v>
      </c>
      <c r="J76" s="54">
        <f t="shared" si="89"/>
        <v>252.39</v>
      </c>
      <c r="K76" s="54">
        <f t="shared" si="90"/>
        <v>57.14</v>
      </c>
      <c r="L76" s="54">
        <f t="shared" si="91"/>
        <v>447.64</v>
      </c>
      <c r="M76" s="54">
        <f t="shared" si="92"/>
        <v>504.78</v>
      </c>
      <c r="N76" s="10">
        <f t="shared" si="93"/>
        <v>1.9397892014266224E-4</v>
      </c>
      <c r="O76" s="71" t="s">
        <v>359</v>
      </c>
      <c r="P76" s="67">
        <f>IF(O76="BDI  PADRÃO",'BDI 2025'!$D$16,'BDI 2025'!$F$16)</f>
        <v>0.25130000000000002</v>
      </c>
      <c r="Q76" s="68">
        <f t="shared" si="65"/>
        <v>35.74</v>
      </c>
      <c r="R76" s="68">
        <f t="shared" si="66"/>
        <v>280.07</v>
      </c>
      <c r="S76" s="68">
        <f t="shared" si="67"/>
        <v>315.81</v>
      </c>
      <c r="T76" s="68">
        <f t="shared" si="94"/>
        <v>71.48</v>
      </c>
      <c r="U76" s="68">
        <f t="shared" si="69"/>
        <v>560.14</v>
      </c>
      <c r="V76" s="68">
        <f t="shared" si="95"/>
        <v>631.62</v>
      </c>
      <c r="W76" s="68">
        <f t="shared" si="71"/>
        <v>35.74</v>
      </c>
      <c r="X76" s="68">
        <f t="shared" si="72"/>
        <v>280.07</v>
      </c>
      <c r="Y76" s="68">
        <f t="shared" si="73"/>
        <v>315.81</v>
      </c>
      <c r="Z76" s="68">
        <f t="shared" si="96"/>
        <v>71.48</v>
      </c>
      <c r="AA76" s="68">
        <f t="shared" si="75"/>
        <v>560.14</v>
      </c>
      <c r="AB76" s="68">
        <f t="shared" si="97"/>
        <v>631.62</v>
      </c>
    </row>
    <row r="77" spans="1:28" ht="39" customHeight="1" x14ac:dyDescent="0.2">
      <c r="A77" s="7" t="s">
        <v>214</v>
      </c>
      <c r="B77" s="8" t="s">
        <v>215</v>
      </c>
      <c r="C77" s="7" t="s">
        <v>23</v>
      </c>
      <c r="D77" s="7" t="s">
        <v>216</v>
      </c>
      <c r="E77" s="9" t="s">
        <v>65</v>
      </c>
      <c r="F77" s="8">
        <v>2</v>
      </c>
      <c r="G77" s="54">
        <v>233.29</v>
      </c>
      <c r="H77" s="54">
        <v>28.57</v>
      </c>
      <c r="I77" s="54">
        <v>204.72</v>
      </c>
      <c r="J77" s="54">
        <f t="shared" si="89"/>
        <v>233.29</v>
      </c>
      <c r="K77" s="54">
        <f t="shared" si="90"/>
        <v>57.14</v>
      </c>
      <c r="L77" s="54">
        <f t="shared" si="91"/>
        <v>409.44</v>
      </c>
      <c r="M77" s="54">
        <f t="shared" si="92"/>
        <v>466.58</v>
      </c>
      <c r="N77" s="10">
        <f t="shared" si="93"/>
        <v>1.7929926811712695E-4</v>
      </c>
      <c r="O77" s="71" t="s">
        <v>359</v>
      </c>
      <c r="P77" s="67">
        <f>IF(O77="BDI  PADRÃO",'BDI 2025'!$D$16,'BDI 2025'!$F$16)</f>
        <v>0.25130000000000002</v>
      </c>
      <c r="Q77" s="68">
        <f t="shared" si="65"/>
        <v>35.74</v>
      </c>
      <c r="R77" s="68">
        <f t="shared" si="66"/>
        <v>256.17</v>
      </c>
      <c r="S77" s="68">
        <f t="shared" si="67"/>
        <v>291.91000000000003</v>
      </c>
      <c r="T77" s="68">
        <f t="shared" si="94"/>
        <v>71.48</v>
      </c>
      <c r="U77" s="68">
        <f t="shared" si="69"/>
        <v>512.34</v>
      </c>
      <c r="V77" s="68">
        <f t="shared" si="95"/>
        <v>583.82000000000005</v>
      </c>
      <c r="W77" s="68">
        <f t="shared" si="71"/>
        <v>35.74</v>
      </c>
      <c r="X77" s="68">
        <f t="shared" si="72"/>
        <v>256.17</v>
      </c>
      <c r="Y77" s="68">
        <f t="shared" si="73"/>
        <v>291.91000000000003</v>
      </c>
      <c r="Z77" s="68">
        <f t="shared" si="96"/>
        <v>71.48</v>
      </c>
      <c r="AA77" s="68">
        <f t="shared" si="75"/>
        <v>512.34</v>
      </c>
      <c r="AB77" s="68">
        <f t="shared" si="97"/>
        <v>583.82000000000005</v>
      </c>
    </row>
    <row r="78" spans="1:28" ht="26.1" customHeight="1" x14ac:dyDescent="0.2">
      <c r="A78" s="7" t="s">
        <v>217</v>
      </c>
      <c r="B78" s="8" t="s">
        <v>218</v>
      </c>
      <c r="C78" s="7" t="s">
        <v>60</v>
      </c>
      <c r="D78" s="7" t="s">
        <v>219</v>
      </c>
      <c r="E78" s="9" t="s">
        <v>89</v>
      </c>
      <c r="F78" s="8">
        <v>2</v>
      </c>
      <c r="G78" s="54">
        <v>705.98</v>
      </c>
      <c r="H78" s="54">
        <v>4.43</v>
      </c>
      <c r="I78" s="54">
        <v>701.55</v>
      </c>
      <c r="J78" s="54">
        <f t="shared" si="89"/>
        <v>705.98</v>
      </c>
      <c r="K78" s="54">
        <f t="shared" si="90"/>
        <v>8.86</v>
      </c>
      <c r="L78" s="54">
        <f t="shared" si="91"/>
        <v>1403.1000000000001</v>
      </c>
      <c r="M78" s="54">
        <f t="shared" si="92"/>
        <v>1411.96</v>
      </c>
      <c r="N78" s="10">
        <f t="shared" si="93"/>
        <v>5.4259375586321443E-4</v>
      </c>
      <c r="O78" s="71" t="s">
        <v>359</v>
      </c>
      <c r="P78" s="67">
        <f>IF(O78="BDI  PADRÃO",'BDI 2025'!$D$16,'BDI 2025'!$F$16)</f>
        <v>0.25130000000000002</v>
      </c>
      <c r="Q78" s="68">
        <f t="shared" si="65"/>
        <v>5.54</v>
      </c>
      <c r="R78" s="68">
        <f t="shared" si="66"/>
        <v>877.85</v>
      </c>
      <c r="S78" s="68">
        <f t="shared" si="67"/>
        <v>883.39</v>
      </c>
      <c r="T78" s="68">
        <f t="shared" si="94"/>
        <v>11.08</v>
      </c>
      <c r="U78" s="68">
        <f t="shared" si="69"/>
        <v>1755.7</v>
      </c>
      <c r="V78" s="68">
        <f t="shared" si="95"/>
        <v>1766.78</v>
      </c>
      <c r="W78" s="68">
        <f t="shared" si="71"/>
        <v>5.54</v>
      </c>
      <c r="X78" s="68">
        <f t="shared" si="72"/>
        <v>877.85</v>
      </c>
      <c r="Y78" s="68">
        <f t="shared" si="73"/>
        <v>883.39</v>
      </c>
      <c r="Z78" s="68">
        <f t="shared" si="96"/>
        <v>11.08</v>
      </c>
      <c r="AA78" s="68">
        <f t="shared" si="75"/>
        <v>1755.7</v>
      </c>
      <c r="AB78" s="68">
        <f t="shared" si="97"/>
        <v>1766.78</v>
      </c>
    </row>
    <row r="79" spans="1:28" ht="24" customHeight="1" x14ac:dyDescent="0.2">
      <c r="A79" s="7" t="s">
        <v>220</v>
      </c>
      <c r="B79" s="8" t="s">
        <v>221</v>
      </c>
      <c r="C79" s="7" t="s">
        <v>48</v>
      </c>
      <c r="D79" s="7" t="s">
        <v>222</v>
      </c>
      <c r="E79" s="9" t="s">
        <v>32</v>
      </c>
      <c r="F79" s="8">
        <v>0.42</v>
      </c>
      <c r="G79" s="54">
        <v>521.04999999999995</v>
      </c>
      <c r="H79" s="54">
        <v>31.02</v>
      </c>
      <c r="I79" s="54">
        <v>490.03</v>
      </c>
      <c r="J79" s="54">
        <f t="shared" si="89"/>
        <v>521.04999999999995</v>
      </c>
      <c r="K79" s="54">
        <f t="shared" si="90"/>
        <v>13.02</v>
      </c>
      <c r="L79" s="54">
        <f t="shared" si="91"/>
        <v>205.82</v>
      </c>
      <c r="M79" s="54">
        <f t="shared" si="92"/>
        <v>218.84</v>
      </c>
      <c r="N79" s="10">
        <f t="shared" si="93"/>
        <v>8.4096729038432992E-5</v>
      </c>
      <c r="O79" s="71" t="s">
        <v>359</v>
      </c>
      <c r="P79" s="67">
        <f>IF(O79="BDI  PADRÃO",'BDI 2025'!$D$16,'BDI 2025'!$F$16)</f>
        <v>0.25130000000000002</v>
      </c>
      <c r="Q79" s="68">
        <f t="shared" si="65"/>
        <v>38.81</v>
      </c>
      <c r="R79" s="68">
        <f t="shared" si="66"/>
        <v>613.17000000000007</v>
      </c>
      <c r="S79" s="68">
        <f t="shared" si="67"/>
        <v>651.98</v>
      </c>
      <c r="T79" s="68">
        <f t="shared" si="94"/>
        <v>16.3</v>
      </c>
      <c r="U79" s="68">
        <f t="shared" si="69"/>
        <v>257.52999999999997</v>
      </c>
      <c r="V79" s="68">
        <f t="shared" si="95"/>
        <v>273.83</v>
      </c>
      <c r="W79" s="68">
        <f t="shared" si="71"/>
        <v>38.81</v>
      </c>
      <c r="X79" s="68">
        <f t="shared" si="72"/>
        <v>613.17000000000007</v>
      </c>
      <c r="Y79" s="68">
        <f t="shared" si="73"/>
        <v>651.98</v>
      </c>
      <c r="Z79" s="68">
        <f t="shared" si="96"/>
        <v>16.3</v>
      </c>
      <c r="AA79" s="68">
        <f t="shared" si="75"/>
        <v>257.52999999999997</v>
      </c>
      <c r="AB79" s="68">
        <f t="shared" si="97"/>
        <v>273.83</v>
      </c>
    </row>
    <row r="80" spans="1:28" ht="65.099999999999994" customHeight="1" x14ac:dyDescent="0.2">
      <c r="A80" s="7" t="s">
        <v>223</v>
      </c>
      <c r="B80" s="8" t="s">
        <v>224</v>
      </c>
      <c r="C80" s="7" t="s">
        <v>23</v>
      </c>
      <c r="D80" s="7" t="s">
        <v>225</v>
      </c>
      <c r="E80" s="9" t="s">
        <v>65</v>
      </c>
      <c r="F80" s="8">
        <v>2</v>
      </c>
      <c r="G80" s="54">
        <v>268.23</v>
      </c>
      <c r="H80" s="54">
        <v>26.52</v>
      </c>
      <c r="I80" s="54">
        <v>241.71</v>
      </c>
      <c r="J80" s="54">
        <f t="shared" si="89"/>
        <v>268.23</v>
      </c>
      <c r="K80" s="54">
        <f t="shared" si="90"/>
        <v>53.04</v>
      </c>
      <c r="L80" s="54">
        <f t="shared" si="91"/>
        <v>483.42</v>
      </c>
      <c r="M80" s="54">
        <f t="shared" si="92"/>
        <v>536.46</v>
      </c>
      <c r="N80" s="10">
        <f t="shared" si="93"/>
        <v>2.0615303993766113E-4</v>
      </c>
      <c r="O80" s="71" t="s">
        <v>359</v>
      </c>
      <c r="P80" s="67">
        <f>IF(O80="BDI  PADRÃO",'BDI 2025'!$D$16,'BDI 2025'!$F$16)</f>
        <v>0.25130000000000002</v>
      </c>
      <c r="Q80" s="68">
        <f t="shared" si="65"/>
        <v>33.18</v>
      </c>
      <c r="R80" s="68">
        <f t="shared" si="66"/>
        <v>302.45</v>
      </c>
      <c r="S80" s="68">
        <f t="shared" si="67"/>
        <v>335.63</v>
      </c>
      <c r="T80" s="68">
        <f t="shared" si="94"/>
        <v>66.36</v>
      </c>
      <c r="U80" s="68">
        <f t="shared" si="69"/>
        <v>604.9</v>
      </c>
      <c r="V80" s="68">
        <f t="shared" si="95"/>
        <v>671.26</v>
      </c>
      <c r="W80" s="68">
        <f t="shared" si="71"/>
        <v>33.18</v>
      </c>
      <c r="X80" s="68">
        <f t="shared" si="72"/>
        <v>302.45</v>
      </c>
      <c r="Y80" s="68">
        <f t="shared" si="73"/>
        <v>335.63</v>
      </c>
      <c r="Z80" s="68">
        <f t="shared" si="96"/>
        <v>66.36</v>
      </c>
      <c r="AA80" s="68">
        <f t="shared" si="75"/>
        <v>604.9</v>
      </c>
      <c r="AB80" s="68">
        <f t="shared" si="97"/>
        <v>671.26</v>
      </c>
    </row>
    <row r="81" spans="1:28" ht="26.1" customHeight="1" x14ac:dyDescent="0.2">
      <c r="A81" s="7" t="s">
        <v>226</v>
      </c>
      <c r="B81" s="8" t="s">
        <v>227</v>
      </c>
      <c r="C81" s="7" t="s">
        <v>48</v>
      </c>
      <c r="D81" s="7" t="s">
        <v>228</v>
      </c>
      <c r="E81" s="9" t="s">
        <v>65</v>
      </c>
      <c r="F81" s="8">
        <v>2</v>
      </c>
      <c r="G81" s="54">
        <v>462.85</v>
      </c>
      <c r="H81" s="54">
        <v>32.35</v>
      </c>
      <c r="I81" s="54">
        <v>430.5</v>
      </c>
      <c r="J81" s="54">
        <f t="shared" si="89"/>
        <v>462.85</v>
      </c>
      <c r="K81" s="54">
        <f t="shared" si="90"/>
        <v>64.7</v>
      </c>
      <c r="L81" s="54">
        <f t="shared" si="91"/>
        <v>861</v>
      </c>
      <c r="M81" s="54">
        <f t="shared" si="92"/>
        <v>925.7</v>
      </c>
      <c r="N81" s="10">
        <f t="shared" si="93"/>
        <v>3.5573177696434575E-4</v>
      </c>
      <c r="O81" s="71" t="s">
        <v>359</v>
      </c>
      <c r="P81" s="67">
        <f>IF(O81="BDI  PADRÃO",'BDI 2025'!$D$16,'BDI 2025'!$F$16)</f>
        <v>0.25130000000000002</v>
      </c>
      <c r="Q81" s="68">
        <f t="shared" si="65"/>
        <v>40.47</v>
      </c>
      <c r="R81" s="68">
        <f t="shared" si="66"/>
        <v>538.68999999999994</v>
      </c>
      <c r="S81" s="68">
        <f t="shared" si="67"/>
        <v>579.16</v>
      </c>
      <c r="T81" s="68">
        <f t="shared" si="94"/>
        <v>80.94</v>
      </c>
      <c r="U81" s="68">
        <f t="shared" si="69"/>
        <v>1077.3799999999999</v>
      </c>
      <c r="V81" s="68">
        <f t="shared" si="95"/>
        <v>1158.32</v>
      </c>
      <c r="W81" s="68">
        <f t="shared" si="71"/>
        <v>40.47</v>
      </c>
      <c r="X81" s="68">
        <f t="shared" si="72"/>
        <v>538.68999999999994</v>
      </c>
      <c r="Y81" s="68">
        <f t="shared" si="73"/>
        <v>579.16</v>
      </c>
      <c r="Z81" s="68">
        <f t="shared" si="96"/>
        <v>80.94</v>
      </c>
      <c r="AA81" s="68">
        <f t="shared" si="75"/>
        <v>1077.3799999999999</v>
      </c>
      <c r="AB81" s="68">
        <f t="shared" si="97"/>
        <v>1158.32</v>
      </c>
    </row>
    <row r="82" spans="1:28" ht="24" customHeight="1" x14ac:dyDescent="0.2">
      <c r="A82" s="4" t="s">
        <v>229</v>
      </c>
      <c r="B82" s="4"/>
      <c r="C82" s="4"/>
      <c r="D82" s="4" t="s">
        <v>101</v>
      </c>
      <c r="E82" s="4"/>
      <c r="F82" s="5"/>
      <c r="G82" s="52"/>
      <c r="H82" s="52"/>
      <c r="I82" s="52"/>
      <c r="J82" s="52"/>
      <c r="K82" s="52"/>
      <c r="L82" s="52"/>
      <c r="M82" s="53">
        <v>543682.56000000006</v>
      </c>
      <c r="N82" s="6">
        <f t="shared" si="93"/>
        <v>0.20892855479456038</v>
      </c>
      <c r="O82" s="69"/>
      <c r="P82" s="69"/>
      <c r="Q82" s="69"/>
      <c r="R82" s="69"/>
      <c r="S82" s="69"/>
      <c r="T82" s="69"/>
      <c r="U82" s="69"/>
      <c r="V82" s="70">
        <f>SUM(V83,V89,V94,V96,V113)</f>
        <v>674224.37999999989</v>
      </c>
      <c r="W82" s="69"/>
      <c r="X82" s="69"/>
      <c r="Y82" s="69"/>
      <c r="Z82" s="69"/>
      <c r="AA82" s="69"/>
      <c r="AB82" s="70">
        <f>SUM(AB83,AB89,AB94,AB96,AB113)</f>
        <v>674224.37999999989</v>
      </c>
    </row>
    <row r="83" spans="1:28" ht="24" customHeight="1" x14ac:dyDescent="0.2">
      <c r="A83" s="4" t="s">
        <v>230</v>
      </c>
      <c r="B83" s="4"/>
      <c r="C83" s="4"/>
      <c r="D83" s="4" t="s">
        <v>103</v>
      </c>
      <c r="E83" s="4"/>
      <c r="F83" s="5"/>
      <c r="G83" s="52"/>
      <c r="H83" s="52"/>
      <c r="I83" s="52"/>
      <c r="J83" s="52"/>
      <c r="K83" s="52"/>
      <c r="L83" s="52"/>
      <c r="M83" s="53">
        <v>12217.69</v>
      </c>
      <c r="N83" s="6">
        <f t="shared" si="93"/>
        <v>4.6950638155984848E-3</v>
      </c>
      <c r="O83" s="69"/>
      <c r="P83" s="69"/>
      <c r="Q83" s="69"/>
      <c r="R83" s="69"/>
      <c r="S83" s="69"/>
      <c r="T83" s="69"/>
      <c r="U83" s="69"/>
      <c r="V83" s="70">
        <f>SUM(V84:V88)</f>
        <v>15287.86</v>
      </c>
      <c r="W83" s="69"/>
      <c r="X83" s="69"/>
      <c r="Y83" s="69"/>
      <c r="Z83" s="69"/>
      <c r="AA83" s="69"/>
      <c r="AB83" s="70">
        <f>SUM(AB84:AB88)</f>
        <v>15287.86</v>
      </c>
    </row>
    <row r="84" spans="1:28" ht="51.95" customHeight="1" x14ac:dyDescent="0.2">
      <c r="A84" s="7" t="s">
        <v>231</v>
      </c>
      <c r="B84" s="8" t="s">
        <v>232</v>
      </c>
      <c r="C84" s="7" t="s">
        <v>23</v>
      </c>
      <c r="D84" s="7" t="s">
        <v>233</v>
      </c>
      <c r="E84" s="9" t="s">
        <v>32</v>
      </c>
      <c r="F84" s="8">
        <v>12.9</v>
      </c>
      <c r="G84" s="54">
        <v>82.58</v>
      </c>
      <c r="H84" s="54">
        <v>16.239999999999998</v>
      </c>
      <c r="I84" s="54">
        <v>66.34</v>
      </c>
      <c r="J84" s="54">
        <f>TRUNC(G84 * (1 + 0 / 100), 2)</f>
        <v>82.58</v>
      </c>
      <c r="K84" s="54">
        <f>TRUNC(F84 * H84, 2)</f>
        <v>209.49</v>
      </c>
      <c r="L84" s="54">
        <f>M84 - K84</f>
        <v>855.79</v>
      </c>
      <c r="M84" s="54">
        <f>TRUNC(F84 * J84, 2)</f>
        <v>1065.28</v>
      </c>
      <c r="N84" s="10">
        <f t="shared" si="93"/>
        <v>4.0937014947021517E-4</v>
      </c>
      <c r="O84" s="71" t="s">
        <v>359</v>
      </c>
      <c r="P84" s="67">
        <f>IF(O84="BDI  PADRÃO",'BDI 2025'!$D$16,'BDI 2025'!$F$16)</f>
        <v>0.25130000000000002</v>
      </c>
      <c r="Q84" s="68">
        <f t="shared" ref="Q84:Q88" si="98">TRUNC($H84*(1+$P84),2)</f>
        <v>20.32</v>
      </c>
      <c r="R84" s="68">
        <f t="shared" ref="R84:R88" si="99">S84-Q84</f>
        <v>83.009999999999991</v>
      </c>
      <c r="S84" s="68">
        <f t="shared" ref="S84:S88" si="100">TRUNC($G84*(1+$P84),2)</f>
        <v>103.33</v>
      </c>
      <c r="T84" s="68">
        <f t="shared" ref="T84:T88" si="101">TRUNC(Q84*$F84,2)</f>
        <v>262.12</v>
      </c>
      <c r="U84" s="68">
        <f t="shared" ref="U84:U88" si="102">V84-T84</f>
        <v>1070.83</v>
      </c>
      <c r="V84" s="68">
        <f t="shared" ref="V84:V88" si="103">TRUNC(S84*$F84,2)</f>
        <v>1332.95</v>
      </c>
      <c r="W84" s="68">
        <f t="shared" ref="W84:W88" si="104">TRUNC($H84*(1+$P84-$R$1),2)</f>
        <v>20.32</v>
      </c>
      <c r="X84" s="68">
        <f t="shared" ref="X84:X88" si="105">Y84-W84</f>
        <v>83.009999999999991</v>
      </c>
      <c r="Y84" s="68">
        <f t="shared" ref="Y84:Y88" si="106">TRUNC($G84*(1+$P84-$R$1),2)</f>
        <v>103.33</v>
      </c>
      <c r="Z84" s="68">
        <f t="shared" ref="Z84:Z88" si="107">TRUNC(W84*$F84,2)</f>
        <v>262.12</v>
      </c>
      <c r="AA84" s="68">
        <f t="shared" ref="AA84:AA88" si="108">AB84-Z84</f>
        <v>1070.83</v>
      </c>
      <c r="AB84" s="68">
        <f t="shared" ref="AB84:AB88" si="109">TRUNC(Y84*$F84,2)</f>
        <v>1332.95</v>
      </c>
    </row>
    <row r="85" spans="1:28" ht="65.099999999999994" customHeight="1" x14ac:dyDescent="0.2">
      <c r="A85" s="7" t="s">
        <v>234</v>
      </c>
      <c r="B85" s="8" t="s">
        <v>235</v>
      </c>
      <c r="C85" s="7" t="s">
        <v>23</v>
      </c>
      <c r="D85" s="7" t="s">
        <v>236</v>
      </c>
      <c r="E85" s="9" t="s">
        <v>65</v>
      </c>
      <c r="F85" s="8">
        <v>1</v>
      </c>
      <c r="G85" s="54">
        <v>763.11</v>
      </c>
      <c r="H85" s="54">
        <v>114.14</v>
      </c>
      <c r="I85" s="54">
        <v>648.97</v>
      </c>
      <c r="J85" s="54">
        <f>TRUNC(G85 * (1 + 0 / 100), 2)</f>
        <v>763.11</v>
      </c>
      <c r="K85" s="54">
        <f>TRUNC(F85 * H85, 2)</f>
        <v>114.14</v>
      </c>
      <c r="L85" s="54">
        <f>M85 - K85</f>
        <v>648.97</v>
      </c>
      <c r="M85" s="54">
        <f>TRUNC(F85 * J85, 2)</f>
        <v>763.11</v>
      </c>
      <c r="N85" s="10">
        <f t="shared" si="93"/>
        <v>2.9325102767555566E-4</v>
      </c>
      <c r="O85" s="71" t="s">
        <v>359</v>
      </c>
      <c r="P85" s="67">
        <f>IF(O85="BDI  PADRÃO",'BDI 2025'!$D$16,'BDI 2025'!$F$16)</f>
        <v>0.25130000000000002</v>
      </c>
      <c r="Q85" s="68">
        <f t="shared" si="98"/>
        <v>142.82</v>
      </c>
      <c r="R85" s="68">
        <f t="shared" si="99"/>
        <v>812.05</v>
      </c>
      <c r="S85" s="68">
        <f t="shared" si="100"/>
        <v>954.87</v>
      </c>
      <c r="T85" s="68">
        <f t="shared" si="101"/>
        <v>142.82</v>
      </c>
      <c r="U85" s="68">
        <f t="shared" si="102"/>
        <v>812.05</v>
      </c>
      <c r="V85" s="68">
        <f t="shared" si="103"/>
        <v>954.87</v>
      </c>
      <c r="W85" s="68">
        <f t="shared" si="104"/>
        <v>142.82</v>
      </c>
      <c r="X85" s="68">
        <f t="shared" si="105"/>
        <v>812.05</v>
      </c>
      <c r="Y85" s="68">
        <f t="shared" si="106"/>
        <v>954.87</v>
      </c>
      <c r="Z85" s="68">
        <f t="shared" si="107"/>
        <v>142.82</v>
      </c>
      <c r="AA85" s="68">
        <f t="shared" si="108"/>
        <v>812.05</v>
      </c>
      <c r="AB85" s="68">
        <f t="shared" si="109"/>
        <v>954.87</v>
      </c>
    </row>
    <row r="86" spans="1:28" ht="65.099999999999994" customHeight="1" x14ac:dyDescent="0.2">
      <c r="A86" s="7" t="s">
        <v>237</v>
      </c>
      <c r="B86" s="8" t="s">
        <v>238</v>
      </c>
      <c r="C86" s="7" t="s">
        <v>68</v>
      </c>
      <c r="D86" s="7" t="s">
        <v>239</v>
      </c>
      <c r="E86" s="9" t="s">
        <v>65</v>
      </c>
      <c r="F86" s="8">
        <v>2</v>
      </c>
      <c r="G86" s="54">
        <v>2246.1</v>
      </c>
      <c r="H86" s="54">
        <v>34.880000000000003</v>
      </c>
      <c r="I86" s="54">
        <v>2211.2199999999998</v>
      </c>
      <c r="J86" s="54">
        <f>TRUNC(G86 * (1 + 0 / 100), 2)</f>
        <v>2246.1</v>
      </c>
      <c r="K86" s="54">
        <f>TRUNC(F86 * H86, 2)</f>
        <v>69.760000000000005</v>
      </c>
      <c r="L86" s="54">
        <f>M86 - K86</f>
        <v>4422.4399999999996</v>
      </c>
      <c r="M86" s="54">
        <f>TRUNC(F86 * J86, 2)</f>
        <v>4492.2</v>
      </c>
      <c r="N86" s="10">
        <f t="shared" si="93"/>
        <v>1.726280964112816E-3</v>
      </c>
      <c r="O86" s="71" t="s">
        <v>359</v>
      </c>
      <c r="P86" s="67">
        <f>IF(O86="BDI  PADRÃO",'BDI 2025'!$D$16,'BDI 2025'!$F$16)</f>
        <v>0.25130000000000002</v>
      </c>
      <c r="Q86" s="68">
        <f t="shared" si="98"/>
        <v>43.64</v>
      </c>
      <c r="R86" s="68">
        <f t="shared" si="99"/>
        <v>2766.9</v>
      </c>
      <c r="S86" s="68">
        <f t="shared" si="100"/>
        <v>2810.54</v>
      </c>
      <c r="T86" s="68">
        <f t="shared" si="101"/>
        <v>87.28</v>
      </c>
      <c r="U86" s="68">
        <f t="shared" si="102"/>
        <v>5533.8</v>
      </c>
      <c r="V86" s="68">
        <f t="shared" si="103"/>
        <v>5621.08</v>
      </c>
      <c r="W86" s="68">
        <f t="shared" si="104"/>
        <v>43.64</v>
      </c>
      <c r="X86" s="68">
        <f t="shared" si="105"/>
        <v>2766.9</v>
      </c>
      <c r="Y86" s="68">
        <f t="shared" si="106"/>
        <v>2810.54</v>
      </c>
      <c r="Z86" s="68">
        <f t="shared" si="107"/>
        <v>87.28</v>
      </c>
      <c r="AA86" s="68">
        <f t="shared" si="108"/>
        <v>5533.8</v>
      </c>
      <c r="AB86" s="68">
        <f t="shared" si="109"/>
        <v>5621.08</v>
      </c>
    </row>
    <row r="87" spans="1:28" ht="24" customHeight="1" x14ac:dyDescent="0.2">
      <c r="A87" s="7" t="s">
        <v>240</v>
      </c>
      <c r="B87" s="8" t="s">
        <v>241</v>
      </c>
      <c r="C87" s="7" t="s">
        <v>48</v>
      </c>
      <c r="D87" s="7" t="s">
        <v>242</v>
      </c>
      <c r="E87" s="9" t="s">
        <v>32</v>
      </c>
      <c r="F87" s="8">
        <v>8.5</v>
      </c>
      <c r="G87" s="54">
        <v>552.86</v>
      </c>
      <c r="H87" s="54">
        <v>52.49</v>
      </c>
      <c r="I87" s="54">
        <v>500.37</v>
      </c>
      <c r="J87" s="54">
        <f>TRUNC(G87 * (1 + 0 / 100), 2)</f>
        <v>552.86</v>
      </c>
      <c r="K87" s="54">
        <f>TRUNC(F87 * H87, 2)</f>
        <v>446.16</v>
      </c>
      <c r="L87" s="54">
        <f>M87 - K87</f>
        <v>4253.1500000000005</v>
      </c>
      <c r="M87" s="54">
        <f>TRUNC(F87 * J87, 2)</f>
        <v>4699.3100000000004</v>
      </c>
      <c r="N87" s="10">
        <f t="shared" si="93"/>
        <v>1.8058700408407904E-3</v>
      </c>
      <c r="O87" s="71" t="s">
        <v>359</v>
      </c>
      <c r="P87" s="67">
        <f>IF(O87="BDI  PADRÃO",'BDI 2025'!$D$16,'BDI 2025'!$F$16)</f>
        <v>0.25130000000000002</v>
      </c>
      <c r="Q87" s="68">
        <f t="shared" si="98"/>
        <v>65.680000000000007</v>
      </c>
      <c r="R87" s="68">
        <f t="shared" si="99"/>
        <v>626.1099999999999</v>
      </c>
      <c r="S87" s="68">
        <f t="shared" si="100"/>
        <v>691.79</v>
      </c>
      <c r="T87" s="68">
        <f t="shared" si="101"/>
        <v>558.28</v>
      </c>
      <c r="U87" s="68">
        <f t="shared" si="102"/>
        <v>5321.93</v>
      </c>
      <c r="V87" s="68">
        <f t="shared" si="103"/>
        <v>5880.21</v>
      </c>
      <c r="W87" s="68">
        <f t="shared" si="104"/>
        <v>65.680000000000007</v>
      </c>
      <c r="X87" s="68">
        <f t="shared" si="105"/>
        <v>626.1099999999999</v>
      </c>
      <c r="Y87" s="68">
        <f t="shared" si="106"/>
        <v>691.79</v>
      </c>
      <c r="Z87" s="68">
        <f t="shared" si="107"/>
        <v>558.28</v>
      </c>
      <c r="AA87" s="68">
        <f t="shared" si="108"/>
        <v>5321.93</v>
      </c>
      <c r="AB87" s="68">
        <f t="shared" si="109"/>
        <v>5880.21</v>
      </c>
    </row>
    <row r="88" spans="1:28" ht="26.1" customHeight="1" x14ac:dyDescent="0.2">
      <c r="A88" s="7" t="s">
        <v>243</v>
      </c>
      <c r="B88" s="8" t="s">
        <v>244</v>
      </c>
      <c r="C88" s="7" t="s">
        <v>23</v>
      </c>
      <c r="D88" s="7" t="s">
        <v>245</v>
      </c>
      <c r="E88" s="9" t="s">
        <v>45</v>
      </c>
      <c r="F88" s="8">
        <v>7.2</v>
      </c>
      <c r="G88" s="54">
        <v>166.36</v>
      </c>
      <c r="H88" s="54">
        <v>14.59</v>
      </c>
      <c r="I88" s="54">
        <v>151.77000000000001</v>
      </c>
      <c r="J88" s="54">
        <f>TRUNC(G88 * (1 + 0 / 100), 2)</f>
        <v>166.36</v>
      </c>
      <c r="K88" s="54">
        <f>TRUNC(F88 * H88, 2)</f>
        <v>105.04</v>
      </c>
      <c r="L88" s="54">
        <f>M88 - K88</f>
        <v>1092.75</v>
      </c>
      <c r="M88" s="54">
        <f>TRUNC(F88 * J88, 2)</f>
        <v>1197.79</v>
      </c>
      <c r="N88" s="10">
        <f t="shared" si="93"/>
        <v>4.6029163349910733E-4</v>
      </c>
      <c r="O88" s="71" t="s">
        <v>359</v>
      </c>
      <c r="P88" s="67">
        <f>IF(O88="BDI  PADRÃO",'BDI 2025'!$D$16,'BDI 2025'!$F$16)</f>
        <v>0.25130000000000002</v>
      </c>
      <c r="Q88" s="68">
        <f t="shared" si="98"/>
        <v>18.25</v>
      </c>
      <c r="R88" s="68">
        <f t="shared" si="99"/>
        <v>189.91</v>
      </c>
      <c r="S88" s="68">
        <f t="shared" si="100"/>
        <v>208.16</v>
      </c>
      <c r="T88" s="68">
        <f t="shared" si="101"/>
        <v>131.4</v>
      </c>
      <c r="U88" s="68">
        <f t="shared" si="102"/>
        <v>1367.35</v>
      </c>
      <c r="V88" s="68">
        <f t="shared" si="103"/>
        <v>1498.75</v>
      </c>
      <c r="W88" s="68">
        <f t="shared" si="104"/>
        <v>18.25</v>
      </c>
      <c r="X88" s="68">
        <f t="shared" si="105"/>
        <v>189.91</v>
      </c>
      <c r="Y88" s="68">
        <f t="shared" si="106"/>
        <v>208.16</v>
      </c>
      <c r="Z88" s="68">
        <f t="shared" si="107"/>
        <v>131.4</v>
      </c>
      <c r="AA88" s="68">
        <f t="shared" si="108"/>
        <v>1367.35</v>
      </c>
      <c r="AB88" s="68">
        <f t="shared" si="109"/>
        <v>1498.75</v>
      </c>
    </row>
    <row r="89" spans="1:28" ht="24" customHeight="1" x14ac:dyDescent="0.2">
      <c r="A89" s="4" t="s">
        <v>246</v>
      </c>
      <c r="B89" s="4"/>
      <c r="C89" s="4"/>
      <c r="D89" s="4" t="s">
        <v>247</v>
      </c>
      <c r="E89" s="4"/>
      <c r="F89" s="5"/>
      <c r="G89" s="52"/>
      <c r="H89" s="52"/>
      <c r="I89" s="52"/>
      <c r="J89" s="52"/>
      <c r="K89" s="52"/>
      <c r="L89" s="52"/>
      <c r="M89" s="53">
        <v>14317.66</v>
      </c>
      <c r="N89" s="6">
        <f t="shared" si="93"/>
        <v>5.5020488643959531E-3</v>
      </c>
      <c r="O89" s="69"/>
      <c r="P89" s="69"/>
      <c r="Q89" s="69"/>
      <c r="R89" s="69"/>
      <c r="S89" s="69"/>
      <c r="T89" s="69"/>
      <c r="U89" s="69"/>
      <c r="V89" s="70">
        <f>SUM(V90:V93)</f>
        <v>17915.46</v>
      </c>
      <c r="W89" s="69"/>
      <c r="X89" s="69"/>
      <c r="Y89" s="69"/>
      <c r="Z89" s="69"/>
      <c r="AA89" s="69"/>
      <c r="AB89" s="70">
        <f>SUM(AB90:AB93)</f>
        <v>17915.46</v>
      </c>
    </row>
    <row r="90" spans="1:28" ht="26.1" customHeight="1" x14ac:dyDescent="0.2">
      <c r="A90" s="7" t="s">
        <v>248</v>
      </c>
      <c r="B90" s="8" t="s">
        <v>249</v>
      </c>
      <c r="C90" s="7" t="s">
        <v>23</v>
      </c>
      <c r="D90" s="7" t="s">
        <v>250</v>
      </c>
      <c r="E90" s="9" t="s">
        <v>32</v>
      </c>
      <c r="F90" s="8">
        <v>5.85</v>
      </c>
      <c r="G90" s="54">
        <v>79.849999999999994</v>
      </c>
      <c r="H90" s="54">
        <v>0.85</v>
      </c>
      <c r="I90" s="54">
        <v>79</v>
      </c>
      <c r="J90" s="54">
        <f>TRUNC(G90 * (1 + 0 / 100), 2)</f>
        <v>79.849999999999994</v>
      </c>
      <c r="K90" s="54">
        <f>TRUNC(F90 * H90, 2)</f>
        <v>4.97</v>
      </c>
      <c r="L90" s="54">
        <f>M90 - K90</f>
        <v>462.15</v>
      </c>
      <c r="M90" s="54">
        <f>TRUNC(F90 * J90, 2)</f>
        <v>467.12</v>
      </c>
      <c r="N90" s="10">
        <f t="shared" si="93"/>
        <v>1.7950678152272353E-4</v>
      </c>
      <c r="O90" s="71" t="s">
        <v>359</v>
      </c>
      <c r="P90" s="67">
        <f>IF(O90="BDI  PADRÃO",'BDI 2025'!$D$16,'BDI 2025'!$F$16)</f>
        <v>0.25130000000000002</v>
      </c>
      <c r="Q90" s="68">
        <f t="shared" ref="Q90:Q93" si="110">TRUNC($H90*(1+$P90),2)</f>
        <v>1.06</v>
      </c>
      <c r="R90" s="68">
        <f t="shared" ref="R90:R93" si="111">S90-Q90</f>
        <v>98.85</v>
      </c>
      <c r="S90" s="68">
        <f t="shared" ref="S90:S93" si="112">TRUNC($G90*(1+$P90),2)</f>
        <v>99.91</v>
      </c>
      <c r="T90" s="68">
        <f t="shared" ref="T90:T93" si="113">TRUNC(Q90*$F90,2)</f>
        <v>6.2</v>
      </c>
      <c r="U90" s="68">
        <f t="shared" ref="U90:U93" si="114">V90-T90</f>
        <v>578.27</v>
      </c>
      <c r="V90" s="68">
        <f t="shared" ref="V90:V93" si="115">TRUNC(S90*$F90,2)</f>
        <v>584.47</v>
      </c>
      <c r="W90" s="68">
        <f t="shared" ref="W90:W93" si="116">TRUNC($H90*(1+$P90-$R$1),2)</f>
        <v>1.06</v>
      </c>
      <c r="X90" s="68">
        <f t="shared" ref="X90:X93" si="117">Y90-W90</f>
        <v>98.85</v>
      </c>
      <c r="Y90" s="68">
        <f t="shared" ref="Y90:Y93" si="118">TRUNC($G90*(1+$P90-$R$1),2)</f>
        <v>99.91</v>
      </c>
      <c r="Z90" s="68">
        <f t="shared" ref="Z90:Z93" si="119">TRUNC(W90*$F90,2)</f>
        <v>6.2</v>
      </c>
      <c r="AA90" s="68">
        <f t="shared" ref="AA90:AA93" si="120">AB90-Z90</f>
        <v>578.27</v>
      </c>
      <c r="AB90" s="68">
        <f t="shared" ref="AB90:AB93" si="121">TRUNC(Y90*$F90,2)</f>
        <v>584.47</v>
      </c>
    </row>
    <row r="91" spans="1:28" ht="39" customHeight="1" x14ac:dyDescent="0.2">
      <c r="A91" s="7" t="s">
        <v>251</v>
      </c>
      <c r="B91" s="8" t="s">
        <v>252</v>
      </c>
      <c r="C91" s="7" t="s">
        <v>23</v>
      </c>
      <c r="D91" s="7" t="s">
        <v>253</v>
      </c>
      <c r="E91" s="9" t="s">
        <v>32</v>
      </c>
      <c r="F91" s="8">
        <v>9.7725000000000009</v>
      </c>
      <c r="G91" s="54">
        <v>126.82</v>
      </c>
      <c r="H91" s="54">
        <v>48.75</v>
      </c>
      <c r="I91" s="54">
        <v>78.069999999999993</v>
      </c>
      <c r="J91" s="54">
        <f>TRUNC(G91 * (1 + 0 / 100), 2)</f>
        <v>126.82</v>
      </c>
      <c r="K91" s="54">
        <f>TRUNC(F91 * H91, 2)</f>
        <v>476.4</v>
      </c>
      <c r="L91" s="54">
        <f>M91 - K91</f>
        <v>762.93999999999994</v>
      </c>
      <c r="M91" s="54">
        <f>TRUNC(F91 * J91, 2)</f>
        <v>1239.3399999999999</v>
      </c>
      <c r="N91" s="10">
        <f t="shared" si="93"/>
        <v>4.7625863720751019E-4</v>
      </c>
      <c r="O91" s="71" t="s">
        <v>359</v>
      </c>
      <c r="P91" s="67">
        <f>IF(O91="BDI  PADRÃO",'BDI 2025'!$D$16,'BDI 2025'!$F$16)</f>
        <v>0.25130000000000002</v>
      </c>
      <c r="Q91" s="68">
        <f t="shared" si="110"/>
        <v>61</v>
      </c>
      <c r="R91" s="68">
        <f t="shared" si="111"/>
        <v>97.68</v>
      </c>
      <c r="S91" s="68">
        <f t="shared" si="112"/>
        <v>158.68</v>
      </c>
      <c r="T91" s="68">
        <f t="shared" si="113"/>
        <v>596.12</v>
      </c>
      <c r="U91" s="68">
        <f t="shared" si="114"/>
        <v>954.58</v>
      </c>
      <c r="V91" s="68">
        <f t="shared" si="115"/>
        <v>1550.7</v>
      </c>
      <c r="W91" s="68">
        <f t="shared" si="116"/>
        <v>61</v>
      </c>
      <c r="X91" s="68">
        <f t="shared" si="117"/>
        <v>97.68</v>
      </c>
      <c r="Y91" s="68">
        <f t="shared" si="118"/>
        <v>158.68</v>
      </c>
      <c r="Z91" s="68">
        <f t="shared" si="119"/>
        <v>596.12</v>
      </c>
      <c r="AA91" s="68">
        <f t="shared" si="120"/>
        <v>954.58</v>
      </c>
      <c r="AB91" s="68">
        <f t="shared" si="121"/>
        <v>1550.7</v>
      </c>
    </row>
    <row r="92" spans="1:28" ht="24" customHeight="1" x14ac:dyDescent="0.2">
      <c r="A92" s="7" t="s">
        <v>254</v>
      </c>
      <c r="B92" s="8" t="s">
        <v>191</v>
      </c>
      <c r="C92" s="7" t="s">
        <v>60</v>
      </c>
      <c r="D92" s="7" t="s">
        <v>192</v>
      </c>
      <c r="E92" s="9" t="s">
        <v>193</v>
      </c>
      <c r="F92" s="8">
        <v>12.4</v>
      </c>
      <c r="G92" s="54">
        <v>326.45</v>
      </c>
      <c r="H92" s="54">
        <v>42.17</v>
      </c>
      <c r="I92" s="54">
        <v>284.27999999999997</v>
      </c>
      <c r="J92" s="54">
        <f>TRUNC(G92 * (1 + 0 / 100), 2)</f>
        <v>326.45</v>
      </c>
      <c r="K92" s="54">
        <f>TRUNC(F92 * H92, 2)</f>
        <v>522.9</v>
      </c>
      <c r="L92" s="54">
        <f>M92 - K92</f>
        <v>3525.08</v>
      </c>
      <c r="M92" s="54">
        <f>TRUNC(F92 * J92, 2)</f>
        <v>4047.98</v>
      </c>
      <c r="N92" s="10">
        <f t="shared" si="93"/>
        <v>1.5555742881237249E-3</v>
      </c>
      <c r="O92" s="71" t="s">
        <v>359</v>
      </c>
      <c r="P92" s="67">
        <f>IF(O92="BDI  PADRÃO",'BDI 2025'!$D$16,'BDI 2025'!$F$16)</f>
        <v>0.25130000000000002</v>
      </c>
      <c r="Q92" s="68">
        <f t="shared" si="110"/>
        <v>52.76</v>
      </c>
      <c r="R92" s="68">
        <f t="shared" si="111"/>
        <v>355.72</v>
      </c>
      <c r="S92" s="68">
        <f t="shared" si="112"/>
        <v>408.48</v>
      </c>
      <c r="T92" s="68">
        <f t="shared" si="113"/>
        <v>654.22</v>
      </c>
      <c r="U92" s="68">
        <f t="shared" si="114"/>
        <v>4410.9299999999994</v>
      </c>
      <c r="V92" s="68">
        <f t="shared" si="115"/>
        <v>5065.1499999999996</v>
      </c>
      <c r="W92" s="68">
        <f t="shared" si="116"/>
        <v>52.76</v>
      </c>
      <c r="X92" s="68">
        <f t="shared" si="117"/>
        <v>355.72</v>
      </c>
      <c r="Y92" s="68">
        <f t="shared" si="118"/>
        <v>408.48</v>
      </c>
      <c r="Z92" s="68">
        <f t="shared" si="119"/>
        <v>654.22</v>
      </c>
      <c r="AA92" s="68">
        <f t="shared" si="120"/>
        <v>4410.9299999999994</v>
      </c>
      <c r="AB92" s="68">
        <f t="shared" si="121"/>
        <v>5065.1499999999996</v>
      </c>
    </row>
    <row r="93" spans="1:28" ht="39" customHeight="1" x14ac:dyDescent="0.2">
      <c r="A93" s="7" t="s">
        <v>255</v>
      </c>
      <c r="B93" s="8" t="s">
        <v>256</v>
      </c>
      <c r="C93" s="7" t="s">
        <v>60</v>
      </c>
      <c r="D93" s="7" t="s">
        <v>257</v>
      </c>
      <c r="E93" s="9" t="s">
        <v>89</v>
      </c>
      <c r="F93" s="8">
        <v>2</v>
      </c>
      <c r="G93" s="54">
        <v>4281.6099999999997</v>
      </c>
      <c r="H93" s="54">
        <v>998.41</v>
      </c>
      <c r="I93" s="54">
        <v>3283.2</v>
      </c>
      <c r="J93" s="54">
        <f>TRUNC(G93 * (1 + 0 / 100), 2)</f>
        <v>4281.6099999999997</v>
      </c>
      <c r="K93" s="54">
        <f>TRUNC(F93 * H93, 2)</f>
        <v>1996.82</v>
      </c>
      <c r="L93" s="54">
        <f>M93 - K93</f>
        <v>6566.4</v>
      </c>
      <c r="M93" s="54">
        <f>TRUNC(F93 * J93, 2)</f>
        <v>8563.2199999999993</v>
      </c>
      <c r="N93" s="10">
        <f t="shared" si="93"/>
        <v>3.2907091575419944E-3</v>
      </c>
      <c r="O93" s="71" t="s">
        <v>359</v>
      </c>
      <c r="P93" s="67">
        <f>IF(O93="BDI  PADRÃO",'BDI 2025'!$D$16,'BDI 2025'!$F$16)</f>
        <v>0.25130000000000002</v>
      </c>
      <c r="Q93" s="68">
        <f t="shared" si="110"/>
        <v>1249.31</v>
      </c>
      <c r="R93" s="68">
        <f t="shared" si="111"/>
        <v>4108.26</v>
      </c>
      <c r="S93" s="68">
        <f t="shared" si="112"/>
        <v>5357.57</v>
      </c>
      <c r="T93" s="68">
        <f t="shared" si="113"/>
        <v>2498.62</v>
      </c>
      <c r="U93" s="68">
        <f t="shared" si="114"/>
        <v>8216.52</v>
      </c>
      <c r="V93" s="68">
        <f t="shared" si="115"/>
        <v>10715.14</v>
      </c>
      <c r="W93" s="68">
        <f t="shared" si="116"/>
        <v>1249.31</v>
      </c>
      <c r="X93" s="68">
        <f t="shared" si="117"/>
        <v>4108.26</v>
      </c>
      <c r="Y93" s="68">
        <f t="shared" si="118"/>
        <v>5357.57</v>
      </c>
      <c r="Z93" s="68">
        <f t="shared" si="119"/>
        <v>2498.62</v>
      </c>
      <c r="AA93" s="68">
        <f t="shared" si="120"/>
        <v>8216.52</v>
      </c>
      <c r="AB93" s="68">
        <f t="shared" si="121"/>
        <v>10715.14</v>
      </c>
    </row>
    <row r="94" spans="1:28" ht="24" customHeight="1" x14ac:dyDescent="0.2">
      <c r="A94" s="4" t="s">
        <v>258</v>
      </c>
      <c r="B94" s="4"/>
      <c r="C94" s="4"/>
      <c r="D94" s="4" t="s">
        <v>108</v>
      </c>
      <c r="E94" s="4"/>
      <c r="F94" s="5"/>
      <c r="G94" s="52"/>
      <c r="H94" s="52"/>
      <c r="I94" s="52"/>
      <c r="J94" s="52"/>
      <c r="K94" s="52"/>
      <c r="L94" s="52"/>
      <c r="M94" s="53">
        <v>25657.39</v>
      </c>
      <c r="N94" s="6">
        <f t="shared" si="93"/>
        <v>9.8597266252211675E-3</v>
      </c>
      <c r="O94" s="69"/>
      <c r="P94" s="69"/>
      <c r="Q94" s="69"/>
      <c r="R94" s="69"/>
      <c r="S94" s="69"/>
      <c r="T94" s="69"/>
      <c r="U94" s="69"/>
      <c r="V94" s="70">
        <f>SUM(V95)</f>
        <v>32103.58</v>
      </c>
      <c r="W94" s="69"/>
      <c r="X94" s="69"/>
      <c r="Y94" s="69"/>
      <c r="Z94" s="69"/>
      <c r="AA94" s="69"/>
      <c r="AB94" s="70">
        <f>SUM(AB95)</f>
        <v>32103.58</v>
      </c>
    </row>
    <row r="95" spans="1:28" ht="39" customHeight="1" x14ac:dyDescent="0.2">
      <c r="A95" s="7" t="s">
        <v>259</v>
      </c>
      <c r="B95" s="8" t="s">
        <v>260</v>
      </c>
      <c r="C95" s="7" t="s">
        <v>23</v>
      </c>
      <c r="D95" s="7" t="s">
        <v>261</v>
      </c>
      <c r="E95" s="9" t="s">
        <v>32</v>
      </c>
      <c r="F95" s="8">
        <v>1591.65</v>
      </c>
      <c r="G95" s="54">
        <v>16.12</v>
      </c>
      <c r="H95" s="54">
        <v>6.96</v>
      </c>
      <c r="I95" s="54">
        <v>9.16</v>
      </c>
      <c r="J95" s="54">
        <f>TRUNC(G95 * (1 + 0 / 100), 2)</f>
        <v>16.12</v>
      </c>
      <c r="K95" s="54">
        <f>TRUNC(F95 * H95, 2)</f>
        <v>11077.88</v>
      </c>
      <c r="L95" s="54">
        <f>M95 - K95</f>
        <v>14579.51</v>
      </c>
      <c r="M95" s="54">
        <f>TRUNC(F95 * J95, 2)</f>
        <v>25657.39</v>
      </c>
      <c r="N95" s="10">
        <f t="shared" si="93"/>
        <v>9.8597266252211675E-3</v>
      </c>
      <c r="O95" s="71" t="s">
        <v>359</v>
      </c>
      <c r="P95" s="67">
        <f>IF(O95="BDI  PADRÃO",'BDI 2025'!$D$16,'BDI 2025'!$F$16)</f>
        <v>0.25130000000000002</v>
      </c>
      <c r="Q95" s="68">
        <f t="shared" ref="Q95" si="122">TRUNC($H95*(1+$P95),2)</f>
        <v>8.6999999999999993</v>
      </c>
      <c r="R95" s="68">
        <f t="shared" ref="R95" si="123">S95-Q95</f>
        <v>11.470000000000002</v>
      </c>
      <c r="S95" s="68">
        <f t="shared" ref="S95" si="124">TRUNC($G95*(1+$P95),2)</f>
        <v>20.170000000000002</v>
      </c>
      <c r="T95" s="68">
        <f t="shared" ref="T95" si="125">TRUNC(Q95*$F95,2)</f>
        <v>13847.35</v>
      </c>
      <c r="U95" s="68">
        <f t="shared" ref="U95" si="126">V95-T95</f>
        <v>18256.230000000003</v>
      </c>
      <c r="V95" s="68">
        <f t="shared" ref="V95" si="127">TRUNC(S95*$F95,2)</f>
        <v>32103.58</v>
      </c>
      <c r="W95" s="68">
        <f t="shared" ref="W95" si="128">TRUNC($H95*(1+$P95-$R$1),2)</f>
        <v>8.6999999999999993</v>
      </c>
      <c r="X95" s="68">
        <f t="shared" ref="X95" si="129">Y95-W95</f>
        <v>11.470000000000002</v>
      </c>
      <c r="Y95" s="68">
        <f t="shared" ref="Y95" si="130">TRUNC($G95*(1+$P95-$R$1),2)</f>
        <v>20.170000000000002</v>
      </c>
      <c r="Z95" s="68">
        <f t="shared" ref="Z95" si="131">TRUNC(W95*$F95,2)</f>
        <v>13847.35</v>
      </c>
      <c r="AA95" s="68">
        <f t="shared" ref="AA95" si="132">AB95-Z95</f>
        <v>18256.230000000003</v>
      </c>
      <c r="AB95" s="68">
        <f t="shared" ref="AB95" si="133">TRUNC(Y95*$F95,2)</f>
        <v>32103.58</v>
      </c>
    </row>
    <row r="96" spans="1:28" ht="24" customHeight="1" x14ac:dyDescent="0.2">
      <c r="A96" s="4" t="s">
        <v>262</v>
      </c>
      <c r="B96" s="4"/>
      <c r="C96" s="4"/>
      <c r="D96" s="4" t="s">
        <v>115</v>
      </c>
      <c r="E96" s="4"/>
      <c r="F96" s="5"/>
      <c r="G96" s="52"/>
      <c r="H96" s="52"/>
      <c r="I96" s="52"/>
      <c r="J96" s="52"/>
      <c r="K96" s="52"/>
      <c r="L96" s="52"/>
      <c r="M96" s="53">
        <v>331465.28000000003</v>
      </c>
      <c r="N96" s="6">
        <f t="shared" si="93"/>
        <v>0.12737683164781724</v>
      </c>
      <c r="O96" s="69"/>
      <c r="P96" s="69"/>
      <c r="Q96" s="69"/>
      <c r="R96" s="69"/>
      <c r="S96" s="69"/>
      <c r="T96" s="69"/>
      <c r="U96" s="69"/>
      <c r="V96" s="70">
        <f>SUM(V97:V112)</f>
        <v>408686.00999999995</v>
      </c>
      <c r="W96" s="69"/>
      <c r="X96" s="69"/>
      <c r="Y96" s="69"/>
      <c r="Z96" s="69"/>
      <c r="AA96" s="69"/>
      <c r="AB96" s="70">
        <f>SUM(AB97:AB112)</f>
        <v>408686.00999999995</v>
      </c>
    </row>
    <row r="97" spans="1:28" ht="26.1" customHeight="1" x14ac:dyDescent="0.2">
      <c r="A97" s="7" t="s">
        <v>263</v>
      </c>
      <c r="B97" s="8" t="s">
        <v>249</v>
      </c>
      <c r="C97" s="7" t="s">
        <v>23</v>
      </c>
      <c r="D97" s="7" t="s">
        <v>250</v>
      </c>
      <c r="E97" s="9" t="s">
        <v>32</v>
      </c>
      <c r="F97" s="8">
        <v>5.85</v>
      </c>
      <c r="G97" s="54">
        <v>79.849999999999994</v>
      </c>
      <c r="H97" s="54">
        <v>0.85</v>
      </c>
      <c r="I97" s="54">
        <v>79</v>
      </c>
      <c r="J97" s="54">
        <f t="shared" ref="J97:J112" si="134">TRUNC(G97 * (1 + 0 / 100), 2)</f>
        <v>79.849999999999994</v>
      </c>
      <c r="K97" s="54">
        <f t="shared" ref="K97:K112" si="135">TRUNC(F97 * H97, 2)</f>
        <v>4.97</v>
      </c>
      <c r="L97" s="54">
        <f t="shared" ref="L97:L112" si="136">M97 - K97</f>
        <v>462.15</v>
      </c>
      <c r="M97" s="54">
        <f t="shared" ref="M97:M112" si="137">TRUNC(F97 * J97, 2)</f>
        <v>467.12</v>
      </c>
      <c r="N97" s="10">
        <f t="shared" si="93"/>
        <v>1.7950678152272353E-4</v>
      </c>
      <c r="O97" s="71" t="s">
        <v>359</v>
      </c>
      <c r="P97" s="67">
        <f>IF(O97="BDI  PADRÃO",'BDI 2025'!$D$16,'BDI 2025'!$F$16)</f>
        <v>0.25130000000000002</v>
      </c>
      <c r="Q97" s="68">
        <f t="shared" ref="Q97:Q112" si="138">TRUNC($H97*(1+$P97),2)</f>
        <v>1.06</v>
      </c>
      <c r="R97" s="68">
        <f t="shared" ref="R97:R112" si="139">S97-Q97</f>
        <v>98.85</v>
      </c>
      <c r="S97" s="68">
        <f t="shared" ref="S97:S112" si="140">TRUNC($G97*(1+$P97),2)</f>
        <v>99.91</v>
      </c>
      <c r="T97" s="68">
        <f t="shared" ref="T97:T112" si="141">TRUNC(Q97*$F97,2)</f>
        <v>6.2</v>
      </c>
      <c r="U97" s="68">
        <f t="shared" ref="U97:U112" si="142">V97-T97</f>
        <v>578.27</v>
      </c>
      <c r="V97" s="68">
        <f t="shared" ref="V97:V112" si="143">TRUNC(S97*$F97,2)</f>
        <v>584.47</v>
      </c>
      <c r="W97" s="68">
        <f t="shared" ref="W97:W112" si="144">TRUNC($H97*(1+$P97-$R$1),2)</f>
        <v>1.06</v>
      </c>
      <c r="X97" s="68">
        <f t="shared" ref="X97:X112" si="145">Y97-W97</f>
        <v>98.85</v>
      </c>
      <c r="Y97" s="68">
        <f t="shared" ref="Y97:Y112" si="146">TRUNC($G97*(1+$P97-$R$1),2)</f>
        <v>99.91</v>
      </c>
      <c r="Z97" s="68">
        <f t="shared" ref="Z97:Z112" si="147">TRUNC(W97*$F97,2)</f>
        <v>6.2</v>
      </c>
      <c r="AA97" s="68">
        <f t="shared" ref="AA97:AA112" si="148">AB97-Z97</f>
        <v>578.27</v>
      </c>
      <c r="AB97" s="68">
        <f t="shared" ref="AB97:AB112" si="149">TRUNC(Y97*$F97,2)</f>
        <v>584.47</v>
      </c>
    </row>
    <row r="98" spans="1:28" ht="26.1" customHeight="1" x14ac:dyDescent="0.2">
      <c r="A98" s="7" t="s">
        <v>264</v>
      </c>
      <c r="B98" s="8" t="s">
        <v>265</v>
      </c>
      <c r="C98" s="7" t="s">
        <v>23</v>
      </c>
      <c r="D98" s="7" t="s">
        <v>266</v>
      </c>
      <c r="E98" s="9" t="s">
        <v>32</v>
      </c>
      <c r="F98" s="8">
        <v>1047</v>
      </c>
      <c r="G98" s="54">
        <v>153.19</v>
      </c>
      <c r="H98" s="54">
        <v>13.02</v>
      </c>
      <c r="I98" s="54">
        <v>140.16999999999999</v>
      </c>
      <c r="J98" s="54">
        <f t="shared" si="134"/>
        <v>153.19</v>
      </c>
      <c r="K98" s="54">
        <f t="shared" si="135"/>
        <v>13631.94</v>
      </c>
      <c r="L98" s="54">
        <f t="shared" si="136"/>
        <v>146757.99</v>
      </c>
      <c r="M98" s="54">
        <f t="shared" si="137"/>
        <v>160389.93</v>
      </c>
      <c r="N98" s="10">
        <f t="shared" si="93"/>
        <v>6.1635297403140346E-2</v>
      </c>
      <c r="O98" s="71" t="s">
        <v>359</v>
      </c>
      <c r="P98" s="67">
        <f>IF(O98="BDI  PADRÃO",'BDI 2025'!$D$16,'BDI 2025'!$F$16)</f>
        <v>0.25130000000000002</v>
      </c>
      <c r="Q98" s="68">
        <f t="shared" si="138"/>
        <v>16.29</v>
      </c>
      <c r="R98" s="68">
        <f t="shared" si="139"/>
        <v>175.39000000000001</v>
      </c>
      <c r="S98" s="68">
        <f t="shared" si="140"/>
        <v>191.68</v>
      </c>
      <c r="T98" s="68">
        <f t="shared" si="141"/>
        <v>17055.63</v>
      </c>
      <c r="U98" s="68">
        <f t="shared" si="142"/>
        <v>183633.33</v>
      </c>
      <c r="V98" s="68">
        <f t="shared" si="143"/>
        <v>200688.96</v>
      </c>
      <c r="W98" s="68">
        <f t="shared" si="144"/>
        <v>16.29</v>
      </c>
      <c r="X98" s="68">
        <f t="shared" si="145"/>
        <v>175.39000000000001</v>
      </c>
      <c r="Y98" s="68">
        <f t="shared" si="146"/>
        <v>191.68</v>
      </c>
      <c r="Z98" s="68">
        <f t="shared" si="147"/>
        <v>17055.63</v>
      </c>
      <c r="AA98" s="68">
        <f t="shared" si="148"/>
        <v>183633.33</v>
      </c>
      <c r="AB98" s="68">
        <f t="shared" si="149"/>
        <v>200688.96</v>
      </c>
    </row>
    <row r="99" spans="1:28" ht="26.1" customHeight="1" x14ac:dyDescent="0.2">
      <c r="A99" s="7" t="s">
        <v>267</v>
      </c>
      <c r="B99" s="8" t="s">
        <v>268</v>
      </c>
      <c r="C99" s="7" t="s">
        <v>23</v>
      </c>
      <c r="D99" s="7" t="s">
        <v>269</v>
      </c>
      <c r="E99" s="9" t="s">
        <v>270</v>
      </c>
      <c r="F99" s="8">
        <v>99.54</v>
      </c>
      <c r="G99" s="54">
        <v>10.050000000000001</v>
      </c>
      <c r="H99" s="54">
        <v>0.43</v>
      </c>
      <c r="I99" s="54">
        <v>9.6199999999999992</v>
      </c>
      <c r="J99" s="54">
        <f t="shared" si="134"/>
        <v>10.050000000000001</v>
      </c>
      <c r="K99" s="54">
        <f t="shared" si="135"/>
        <v>42.8</v>
      </c>
      <c r="L99" s="54">
        <f t="shared" si="136"/>
        <v>957.57</v>
      </c>
      <c r="M99" s="54">
        <f t="shared" si="137"/>
        <v>1000.37</v>
      </c>
      <c r="N99" s="10">
        <f t="shared" si="93"/>
        <v>3.8442626954933836E-4</v>
      </c>
      <c r="O99" s="71" t="s">
        <v>359</v>
      </c>
      <c r="P99" s="67">
        <f>IF(O99="BDI  PADRÃO",'BDI 2025'!$D$16,'BDI 2025'!$F$16)</f>
        <v>0.25130000000000002</v>
      </c>
      <c r="Q99" s="68">
        <f t="shared" si="138"/>
        <v>0.53</v>
      </c>
      <c r="R99" s="68">
        <f t="shared" si="139"/>
        <v>12.040000000000001</v>
      </c>
      <c r="S99" s="68">
        <f t="shared" si="140"/>
        <v>12.57</v>
      </c>
      <c r="T99" s="68">
        <f t="shared" si="141"/>
        <v>52.75</v>
      </c>
      <c r="U99" s="68">
        <f t="shared" si="142"/>
        <v>1198.46</v>
      </c>
      <c r="V99" s="68">
        <f t="shared" si="143"/>
        <v>1251.21</v>
      </c>
      <c r="W99" s="68">
        <f t="shared" si="144"/>
        <v>0.53</v>
      </c>
      <c r="X99" s="68">
        <f t="shared" si="145"/>
        <v>12.040000000000001</v>
      </c>
      <c r="Y99" s="68">
        <f t="shared" si="146"/>
        <v>12.57</v>
      </c>
      <c r="Z99" s="68">
        <f t="shared" si="147"/>
        <v>52.75</v>
      </c>
      <c r="AA99" s="68">
        <f t="shared" si="148"/>
        <v>1198.46</v>
      </c>
      <c r="AB99" s="68">
        <f t="shared" si="149"/>
        <v>1251.21</v>
      </c>
    </row>
    <row r="100" spans="1:28" ht="26.1" customHeight="1" x14ac:dyDescent="0.2">
      <c r="A100" s="7" t="s">
        <v>271</v>
      </c>
      <c r="B100" s="8" t="s">
        <v>272</v>
      </c>
      <c r="C100" s="7" t="s">
        <v>23</v>
      </c>
      <c r="D100" s="7" t="s">
        <v>273</v>
      </c>
      <c r="E100" s="9" t="s">
        <v>270</v>
      </c>
      <c r="F100" s="8">
        <v>207.2</v>
      </c>
      <c r="G100" s="54">
        <v>9.2200000000000006</v>
      </c>
      <c r="H100" s="54">
        <v>0.23</v>
      </c>
      <c r="I100" s="54">
        <v>8.99</v>
      </c>
      <c r="J100" s="54">
        <f t="shared" si="134"/>
        <v>9.2200000000000006</v>
      </c>
      <c r="K100" s="54">
        <f t="shared" si="135"/>
        <v>47.65</v>
      </c>
      <c r="L100" s="54">
        <f t="shared" si="136"/>
        <v>1862.73</v>
      </c>
      <c r="M100" s="54">
        <f t="shared" si="137"/>
        <v>1910.38</v>
      </c>
      <c r="N100" s="10">
        <f t="shared" si="93"/>
        <v>7.3412862922885035E-4</v>
      </c>
      <c r="O100" s="71" t="s">
        <v>359</v>
      </c>
      <c r="P100" s="67">
        <f>IF(O100="BDI  PADRÃO",'BDI 2025'!$D$16,'BDI 2025'!$F$16)</f>
        <v>0.25130000000000002</v>
      </c>
      <c r="Q100" s="68">
        <f t="shared" si="138"/>
        <v>0.28000000000000003</v>
      </c>
      <c r="R100" s="68">
        <f t="shared" si="139"/>
        <v>11.25</v>
      </c>
      <c r="S100" s="68">
        <f t="shared" si="140"/>
        <v>11.53</v>
      </c>
      <c r="T100" s="68">
        <f t="shared" si="141"/>
        <v>58.01</v>
      </c>
      <c r="U100" s="68">
        <f t="shared" si="142"/>
        <v>2331</v>
      </c>
      <c r="V100" s="68">
        <f t="shared" si="143"/>
        <v>2389.0100000000002</v>
      </c>
      <c r="W100" s="68">
        <f t="shared" si="144"/>
        <v>0.28000000000000003</v>
      </c>
      <c r="X100" s="68">
        <f t="shared" si="145"/>
        <v>11.25</v>
      </c>
      <c r="Y100" s="68">
        <f t="shared" si="146"/>
        <v>11.53</v>
      </c>
      <c r="Z100" s="68">
        <f t="shared" si="147"/>
        <v>58.01</v>
      </c>
      <c r="AA100" s="68">
        <f t="shared" si="148"/>
        <v>2331</v>
      </c>
      <c r="AB100" s="68">
        <f t="shared" si="149"/>
        <v>2389.0100000000002</v>
      </c>
    </row>
    <row r="101" spans="1:28" ht="39" customHeight="1" x14ac:dyDescent="0.2">
      <c r="A101" s="7" t="s">
        <v>274</v>
      </c>
      <c r="B101" s="8" t="s">
        <v>275</v>
      </c>
      <c r="C101" s="7" t="s">
        <v>23</v>
      </c>
      <c r="D101" s="7" t="s">
        <v>276</v>
      </c>
      <c r="E101" s="9" t="s">
        <v>99</v>
      </c>
      <c r="F101" s="8">
        <v>0.48</v>
      </c>
      <c r="G101" s="54">
        <v>505.42</v>
      </c>
      <c r="H101" s="54">
        <v>72.430000000000007</v>
      </c>
      <c r="I101" s="54">
        <v>432.99</v>
      </c>
      <c r="J101" s="54">
        <f t="shared" si="134"/>
        <v>505.42</v>
      </c>
      <c r="K101" s="54">
        <f t="shared" si="135"/>
        <v>34.76</v>
      </c>
      <c r="L101" s="54">
        <f t="shared" si="136"/>
        <v>207.84</v>
      </c>
      <c r="M101" s="54">
        <f t="shared" si="137"/>
        <v>242.6</v>
      </c>
      <c r="N101" s="10">
        <f t="shared" si="93"/>
        <v>9.3227318884682149E-5</v>
      </c>
      <c r="O101" s="71" t="s">
        <v>359</v>
      </c>
      <c r="P101" s="67">
        <f>IF(O101="BDI  PADRÃO",'BDI 2025'!$D$16,'BDI 2025'!$F$16)</f>
        <v>0.25130000000000002</v>
      </c>
      <c r="Q101" s="68">
        <f t="shared" si="138"/>
        <v>90.63</v>
      </c>
      <c r="R101" s="68">
        <f t="shared" si="139"/>
        <v>541.79999999999995</v>
      </c>
      <c r="S101" s="68">
        <f t="shared" si="140"/>
        <v>632.42999999999995</v>
      </c>
      <c r="T101" s="68">
        <f t="shared" si="141"/>
        <v>43.5</v>
      </c>
      <c r="U101" s="68">
        <f t="shared" si="142"/>
        <v>260.06</v>
      </c>
      <c r="V101" s="68">
        <f t="shared" si="143"/>
        <v>303.56</v>
      </c>
      <c r="W101" s="68">
        <f t="shared" si="144"/>
        <v>90.63</v>
      </c>
      <c r="X101" s="68">
        <f t="shared" si="145"/>
        <v>541.79999999999995</v>
      </c>
      <c r="Y101" s="68">
        <f t="shared" si="146"/>
        <v>632.42999999999995</v>
      </c>
      <c r="Z101" s="68">
        <f t="shared" si="147"/>
        <v>43.5</v>
      </c>
      <c r="AA101" s="68">
        <f t="shared" si="148"/>
        <v>260.06</v>
      </c>
      <c r="AB101" s="68">
        <f t="shared" si="149"/>
        <v>303.56</v>
      </c>
    </row>
    <row r="102" spans="1:28" ht="26.1" customHeight="1" x14ac:dyDescent="0.2">
      <c r="A102" s="7" t="s">
        <v>277</v>
      </c>
      <c r="B102" s="8" t="s">
        <v>278</v>
      </c>
      <c r="C102" s="7" t="s">
        <v>279</v>
      </c>
      <c r="D102" s="7" t="s">
        <v>280</v>
      </c>
      <c r="E102" s="9" t="s">
        <v>281</v>
      </c>
      <c r="F102" s="8">
        <v>2146.9609999999998</v>
      </c>
      <c r="G102" s="54">
        <v>28.1</v>
      </c>
      <c r="H102" s="54">
        <v>12.02</v>
      </c>
      <c r="I102" s="54">
        <v>16.079999999999998</v>
      </c>
      <c r="J102" s="54">
        <f t="shared" si="134"/>
        <v>28.1</v>
      </c>
      <c r="K102" s="54">
        <f t="shared" si="135"/>
        <v>25806.47</v>
      </c>
      <c r="L102" s="54">
        <f t="shared" si="136"/>
        <v>34523.129999999997</v>
      </c>
      <c r="M102" s="54">
        <f t="shared" si="137"/>
        <v>60329.599999999999</v>
      </c>
      <c r="N102" s="10">
        <f t="shared" si="93"/>
        <v>2.3183705100516573E-2</v>
      </c>
      <c r="O102" s="71" t="s">
        <v>404</v>
      </c>
      <c r="P102" s="67">
        <f>IF(O102="BDI  PADRÃO",'BDI 2025'!$D$16,'BDI 2025'!$F$16)</f>
        <v>0.15190000000000001</v>
      </c>
      <c r="Q102" s="68">
        <f t="shared" si="138"/>
        <v>13.84</v>
      </c>
      <c r="R102" s="68">
        <f t="shared" si="139"/>
        <v>18.52</v>
      </c>
      <c r="S102" s="68">
        <f t="shared" si="140"/>
        <v>32.36</v>
      </c>
      <c r="T102" s="68">
        <f t="shared" si="141"/>
        <v>29713.94</v>
      </c>
      <c r="U102" s="68">
        <f t="shared" si="142"/>
        <v>39761.709999999992</v>
      </c>
      <c r="V102" s="68">
        <f t="shared" si="143"/>
        <v>69475.649999999994</v>
      </c>
      <c r="W102" s="68">
        <f t="shared" si="144"/>
        <v>13.84</v>
      </c>
      <c r="X102" s="68">
        <f t="shared" si="145"/>
        <v>18.52</v>
      </c>
      <c r="Y102" s="68">
        <f t="shared" si="146"/>
        <v>32.36</v>
      </c>
      <c r="Z102" s="68">
        <f t="shared" si="147"/>
        <v>29713.94</v>
      </c>
      <c r="AA102" s="68">
        <f t="shared" si="148"/>
        <v>39761.709999999992</v>
      </c>
      <c r="AB102" s="68">
        <f t="shared" si="149"/>
        <v>69475.649999999994</v>
      </c>
    </row>
    <row r="103" spans="1:28" ht="39" customHeight="1" x14ac:dyDescent="0.2">
      <c r="A103" s="7" t="s">
        <v>282</v>
      </c>
      <c r="B103" s="8" t="s">
        <v>283</v>
      </c>
      <c r="C103" s="7" t="s">
        <v>60</v>
      </c>
      <c r="D103" s="7" t="s">
        <v>284</v>
      </c>
      <c r="E103" s="9" t="s">
        <v>32</v>
      </c>
      <c r="F103" s="8">
        <v>130.262</v>
      </c>
      <c r="G103" s="54">
        <v>50.15</v>
      </c>
      <c r="H103" s="54">
        <v>19.96</v>
      </c>
      <c r="I103" s="54">
        <v>30.19</v>
      </c>
      <c r="J103" s="54">
        <f t="shared" si="134"/>
        <v>50.15</v>
      </c>
      <c r="K103" s="54">
        <f t="shared" si="135"/>
        <v>2600.02</v>
      </c>
      <c r="L103" s="54">
        <f t="shared" si="136"/>
        <v>3932.61</v>
      </c>
      <c r="M103" s="54">
        <f t="shared" si="137"/>
        <v>6532.63</v>
      </c>
      <c r="N103" s="10">
        <f t="shared" si="93"/>
        <v>2.5103857385228409E-3</v>
      </c>
      <c r="O103" s="71" t="s">
        <v>359</v>
      </c>
      <c r="P103" s="67">
        <f>IF(O103="BDI  PADRÃO",'BDI 2025'!$D$16,'BDI 2025'!$F$16)</f>
        <v>0.25130000000000002</v>
      </c>
      <c r="Q103" s="68">
        <f t="shared" si="138"/>
        <v>24.97</v>
      </c>
      <c r="R103" s="68">
        <f t="shared" si="139"/>
        <v>37.78</v>
      </c>
      <c r="S103" s="68">
        <f t="shared" si="140"/>
        <v>62.75</v>
      </c>
      <c r="T103" s="68">
        <f t="shared" si="141"/>
        <v>3252.64</v>
      </c>
      <c r="U103" s="68">
        <f t="shared" si="142"/>
        <v>4921.2999999999993</v>
      </c>
      <c r="V103" s="68">
        <f t="shared" si="143"/>
        <v>8173.94</v>
      </c>
      <c r="W103" s="68">
        <f t="shared" si="144"/>
        <v>24.97</v>
      </c>
      <c r="X103" s="68">
        <f t="shared" si="145"/>
        <v>37.78</v>
      </c>
      <c r="Y103" s="68">
        <f t="shared" si="146"/>
        <v>62.75</v>
      </c>
      <c r="Z103" s="68">
        <f t="shared" si="147"/>
        <v>3252.64</v>
      </c>
      <c r="AA103" s="68">
        <f t="shared" si="148"/>
        <v>4921.2999999999993</v>
      </c>
      <c r="AB103" s="68">
        <f t="shared" si="149"/>
        <v>8173.94</v>
      </c>
    </row>
    <row r="104" spans="1:28" ht="26.1" customHeight="1" x14ac:dyDescent="0.2">
      <c r="A104" s="7" t="s">
        <v>285</v>
      </c>
      <c r="B104" s="8" t="s">
        <v>286</v>
      </c>
      <c r="C104" s="7" t="s">
        <v>60</v>
      </c>
      <c r="D104" s="7" t="s">
        <v>287</v>
      </c>
      <c r="E104" s="9" t="s">
        <v>32</v>
      </c>
      <c r="F104" s="8">
        <v>82.69</v>
      </c>
      <c r="G104" s="54">
        <v>27.07</v>
      </c>
      <c r="H104" s="54">
        <v>13.31</v>
      </c>
      <c r="I104" s="54">
        <v>13.76</v>
      </c>
      <c r="J104" s="54">
        <f t="shared" si="134"/>
        <v>27.07</v>
      </c>
      <c r="K104" s="54">
        <f t="shared" si="135"/>
        <v>1100.5999999999999</v>
      </c>
      <c r="L104" s="54">
        <f t="shared" si="136"/>
        <v>1137.81</v>
      </c>
      <c r="M104" s="54">
        <f t="shared" si="137"/>
        <v>2238.41</v>
      </c>
      <c r="N104" s="10">
        <f t="shared" si="93"/>
        <v>8.6018533744707903E-4</v>
      </c>
      <c r="O104" s="71" t="s">
        <v>359</v>
      </c>
      <c r="P104" s="67">
        <f>IF(O104="BDI  PADRÃO",'BDI 2025'!$D$16,'BDI 2025'!$F$16)</f>
        <v>0.25130000000000002</v>
      </c>
      <c r="Q104" s="68">
        <f t="shared" si="138"/>
        <v>16.649999999999999</v>
      </c>
      <c r="R104" s="68">
        <f t="shared" si="139"/>
        <v>17.22</v>
      </c>
      <c r="S104" s="68">
        <f t="shared" si="140"/>
        <v>33.869999999999997</v>
      </c>
      <c r="T104" s="68">
        <f t="shared" si="141"/>
        <v>1376.78</v>
      </c>
      <c r="U104" s="68">
        <f t="shared" si="142"/>
        <v>1423.93</v>
      </c>
      <c r="V104" s="68">
        <f t="shared" si="143"/>
        <v>2800.71</v>
      </c>
      <c r="W104" s="68">
        <f t="shared" si="144"/>
        <v>16.649999999999999</v>
      </c>
      <c r="X104" s="68">
        <f t="shared" si="145"/>
        <v>17.22</v>
      </c>
      <c r="Y104" s="68">
        <f t="shared" si="146"/>
        <v>33.869999999999997</v>
      </c>
      <c r="Z104" s="68">
        <f t="shared" si="147"/>
        <v>1376.78</v>
      </c>
      <c r="AA104" s="68">
        <f t="shared" si="148"/>
        <v>1423.93</v>
      </c>
      <c r="AB104" s="68">
        <f t="shared" si="149"/>
        <v>2800.71</v>
      </c>
    </row>
    <row r="105" spans="1:28" ht="26.1" customHeight="1" x14ac:dyDescent="0.2">
      <c r="A105" s="7" t="s">
        <v>288</v>
      </c>
      <c r="B105" s="8" t="s">
        <v>289</v>
      </c>
      <c r="C105" s="7" t="s">
        <v>60</v>
      </c>
      <c r="D105" s="7" t="s">
        <v>290</v>
      </c>
      <c r="E105" s="9" t="s">
        <v>32</v>
      </c>
      <c r="F105" s="8">
        <v>360</v>
      </c>
      <c r="G105" s="54">
        <v>83.42</v>
      </c>
      <c r="H105" s="54">
        <v>16.760000000000002</v>
      </c>
      <c r="I105" s="54">
        <v>66.66</v>
      </c>
      <c r="J105" s="54">
        <f t="shared" si="134"/>
        <v>83.42</v>
      </c>
      <c r="K105" s="54">
        <f t="shared" si="135"/>
        <v>6033.6</v>
      </c>
      <c r="L105" s="54">
        <f t="shared" si="136"/>
        <v>23997.599999999999</v>
      </c>
      <c r="M105" s="54">
        <f t="shared" si="137"/>
        <v>30031.200000000001</v>
      </c>
      <c r="N105" s="10">
        <f t="shared" si="93"/>
        <v>1.1540512196577358E-2</v>
      </c>
      <c r="O105" s="71" t="s">
        <v>359</v>
      </c>
      <c r="P105" s="67">
        <f>IF(O105="BDI  PADRÃO",'BDI 2025'!$D$16,'BDI 2025'!$F$16)</f>
        <v>0.25130000000000002</v>
      </c>
      <c r="Q105" s="68">
        <f t="shared" si="138"/>
        <v>20.97</v>
      </c>
      <c r="R105" s="68">
        <f t="shared" si="139"/>
        <v>83.41</v>
      </c>
      <c r="S105" s="68">
        <f t="shared" si="140"/>
        <v>104.38</v>
      </c>
      <c r="T105" s="68">
        <f t="shared" si="141"/>
        <v>7549.2</v>
      </c>
      <c r="U105" s="68">
        <f t="shared" si="142"/>
        <v>30027.600000000002</v>
      </c>
      <c r="V105" s="68">
        <f t="shared" si="143"/>
        <v>37576.800000000003</v>
      </c>
      <c r="W105" s="68">
        <f t="shared" si="144"/>
        <v>20.97</v>
      </c>
      <c r="X105" s="68">
        <f t="shared" si="145"/>
        <v>83.41</v>
      </c>
      <c r="Y105" s="68">
        <f t="shared" si="146"/>
        <v>104.38</v>
      </c>
      <c r="Z105" s="68">
        <f t="shared" si="147"/>
        <v>7549.2</v>
      </c>
      <c r="AA105" s="68">
        <f t="shared" si="148"/>
        <v>30027.600000000002</v>
      </c>
      <c r="AB105" s="68">
        <f t="shared" si="149"/>
        <v>37576.800000000003</v>
      </c>
    </row>
    <row r="106" spans="1:28" ht="39" customHeight="1" x14ac:dyDescent="0.2">
      <c r="A106" s="7" t="s">
        <v>291</v>
      </c>
      <c r="B106" s="8" t="s">
        <v>292</v>
      </c>
      <c r="C106" s="7" t="s">
        <v>60</v>
      </c>
      <c r="D106" s="7" t="s">
        <v>293</v>
      </c>
      <c r="E106" s="9" t="s">
        <v>32</v>
      </c>
      <c r="F106" s="8">
        <v>720</v>
      </c>
      <c r="G106" s="54">
        <v>29.38</v>
      </c>
      <c r="H106" s="54">
        <v>13.31</v>
      </c>
      <c r="I106" s="54">
        <v>16.07</v>
      </c>
      <c r="J106" s="54">
        <f t="shared" si="134"/>
        <v>29.38</v>
      </c>
      <c r="K106" s="54">
        <f t="shared" si="135"/>
        <v>9583.2000000000007</v>
      </c>
      <c r="L106" s="54">
        <f t="shared" si="136"/>
        <v>11570.399999999998</v>
      </c>
      <c r="M106" s="54">
        <f t="shared" si="137"/>
        <v>21153.599999999999</v>
      </c>
      <c r="N106" s="10">
        <f t="shared" si="93"/>
        <v>8.1289918085697133E-3</v>
      </c>
      <c r="O106" s="71" t="s">
        <v>359</v>
      </c>
      <c r="P106" s="67">
        <f>IF(O106="BDI  PADRÃO",'BDI 2025'!$D$16,'BDI 2025'!$F$16)</f>
        <v>0.25130000000000002</v>
      </c>
      <c r="Q106" s="68">
        <f t="shared" si="138"/>
        <v>16.649999999999999</v>
      </c>
      <c r="R106" s="68">
        <f t="shared" si="139"/>
        <v>20.11</v>
      </c>
      <c r="S106" s="68">
        <f t="shared" si="140"/>
        <v>36.76</v>
      </c>
      <c r="T106" s="68">
        <f t="shared" si="141"/>
        <v>11988</v>
      </c>
      <c r="U106" s="68">
        <f t="shared" si="142"/>
        <v>14479.2</v>
      </c>
      <c r="V106" s="68">
        <f t="shared" si="143"/>
        <v>26467.200000000001</v>
      </c>
      <c r="W106" s="68">
        <f t="shared" si="144"/>
        <v>16.649999999999999</v>
      </c>
      <c r="X106" s="68">
        <f t="shared" si="145"/>
        <v>20.11</v>
      </c>
      <c r="Y106" s="68">
        <f t="shared" si="146"/>
        <v>36.76</v>
      </c>
      <c r="Z106" s="68">
        <f t="shared" si="147"/>
        <v>11988</v>
      </c>
      <c r="AA106" s="68">
        <f t="shared" si="148"/>
        <v>14479.2</v>
      </c>
      <c r="AB106" s="68">
        <f t="shared" si="149"/>
        <v>26467.200000000001</v>
      </c>
    </row>
    <row r="107" spans="1:28" ht="51.95" customHeight="1" x14ac:dyDescent="0.2">
      <c r="A107" s="7" t="s">
        <v>294</v>
      </c>
      <c r="B107" s="8" t="s">
        <v>295</v>
      </c>
      <c r="C107" s="7" t="s">
        <v>60</v>
      </c>
      <c r="D107" s="7" t="s">
        <v>296</v>
      </c>
      <c r="E107" s="9" t="s">
        <v>32</v>
      </c>
      <c r="F107" s="8">
        <v>720</v>
      </c>
      <c r="G107" s="54">
        <v>64.98</v>
      </c>
      <c r="H107" s="54">
        <v>19.96</v>
      </c>
      <c r="I107" s="54">
        <v>45.02</v>
      </c>
      <c r="J107" s="54">
        <f t="shared" si="134"/>
        <v>64.98</v>
      </c>
      <c r="K107" s="54">
        <f t="shared" si="135"/>
        <v>14371.2</v>
      </c>
      <c r="L107" s="54">
        <f t="shared" si="136"/>
        <v>32414.399999999998</v>
      </c>
      <c r="M107" s="54">
        <f t="shared" si="137"/>
        <v>46785.599999999999</v>
      </c>
      <c r="N107" s="10">
        <f t="shared" si="93"/>
        <v>1.7978961460886997E-2</v>
      </c>
      <c r="O107" s="71" t="s">
        <v>359</v>
      </c>
      <c r="P107" s="67">
        <f>IF(O107="BDI  PADRÃO",'BDI 2025'!$D$16,'BDI 2025'!$F$16)</f>
        <v>0.25130000000000002</v>
      </c>
      <c r="Q107" s="68">
        <f t="shared" si="138"/>
        <v>24.97</v>
      </c>
      <c r="R107" s="68">
        <f t="shared" si="139"/>
        <v>56.33</v>
      </c>
      <c r="S107" s="68">
        <f t="shared" si="140"/>
        <v>81.3</v>
      </c>
      <c r="T107" s="68">
        <f t="shared" si="141"/>
        <v>17978.400000000001</v>
      </c>
      <c r="U107" s="68">
        <f t="shared" si="142"/>
        <v>40557.599999999999</v>
      </c>
      <c r="V107" s="68">
        <f t="shared" si="143"/>
        <v>58536</v>
      </c>
      <c r="W107" s="68">
        <f t="shared" si="144"/>
        <v>24.97</v>
      </c>
      <c r="X107" s="68">
        <f t="shared" si="145"/>
        <v>56.33</v>
      </c>
      <c r="Y107" s="68">
        <f t="shared" si="146"/>
        <v>81.3</v>
      </c>
      <c r="Z107" s="68">
        <f t="shared" si="147"/>
        <v>17978.400000000001</v>
      </c>
      <c r="AA107" s="68">
        <f t="shared" si="148"/>
        <v>40557.599999999999</v>
      </c>
      <c r="AB107" s="68">
        <f t="shared" si="149"/>
        <v>58536</v>
      </c>
    </row>
    <row r="108" spans="1:28" ht="26.1" customHeight="1" x14ac:dyDescent="0.2">
      <c r="A108" s="11" t="s">
        <v>297</v>
      </c>
      <c r="B108" s="12" t="s">
        <v>298</v>
      </c>
      <c r="C108" s="11" t="s">
        <v>23</v>
      </c>
      <c r="D108" s="11" t="s">
        <v>299</v>
      </c>
      <c r="E108" s="13" t="s">
        <v>300</v>
      </c>
      <c r="F108" s="12">
        <v>2</v>
      </c>
      <c r="G108" s="55">
        <v>102</v>
      </c>
      <c r="H108" s="55">
        <v>0</v>
      </c>
      <c r="I108" s="55">
        <v>102</v>
      </c>
      <c r="J108" s="55">
        <f t="shared" si="134"/>
        <v>102</v>
      </c>
      <c r="K108" s="55">
        <f t="shared" si="135"/>
        <v>0</v>
      </c>
      <c r="L108" s="55">
        <f t="shared" si="136"/>
        <v>204</v>
      </c>
      <c r="M108" s="55">
        <f t="shared" si="137"/>
        <v>204</v>
      </c>
      <c r="N108" s="14">
        <f t="shared" si="93"/>
        <v>7.8393953225371635E-5</v>
      </c>
      <c r="O108" s="72" t="s">
        <v>404</v>
      </c>
      <c r="P108" s="73">
        <f>IF(O108="BDI  PADRÃO",'BDI 2025'!$D$16,'BDI 2025'!$F$16)</f>
        <v>0.15190000000000001</v>
      </c>
      <c r="Q108" s="68">
        <f t="shared" si="138"/>
        <v>0</v>
      </c>
      <c r="R108" s="68">
        <f t="shared" si="139"/>
        <v>117.49</v>
      </c>
      <c r="S108" s="68">
        <f t="shared" si="140"/>
        <v>117.49</v>
      </c>
      <c r="T108" s="68">
        <f t="shared" si="141"/>
        <v>0</v>
      </c>
      <c r="U108" s="68">
        <f t="shared" si="142"/>
        <v>234.98</v>
      </c>
      <c r="V108" s="68">
        <f t="shared" si="143"/>
        <v>234.98</v>
      </c>
      <c r="W108" s="68">
        <f t="shared" si="144"/>
        <v>0</v>
      </c>
      <c r="X108" s="68">
        <f t="shared" si="145"/>
        <v>117.49</v>
      </c>
      <c r="Y108" s="68">
        <f t="shared" si="146"/>
        <v>117.49</v>
      </c>
      <c r="Z108" s="68">
        <f t="shared" si="147"/>
        <v>0</v>
      </c>
      <c r="AA108" s="68">
        <f t="shared" si="148"/>
        <v>234.98</v>
      </c>
      <c r="AB108" s="68">
        <f t="shared" si="149"/>
        <v>234.98</v>
      </c>
    </row>
    <row r="109" spans="1:28" ht="24" customHeight="1" x14ac:dyDescent="0.2">
      <c r="A109" s="11" t="s">
        <v>301</v>
      </c>
      <c r="B109" s="12" t="s">
        <v>302</v>
      </c>
      <c r="C109" s="11" t="s">
        <v>60</v>
      </c>
      <c r="D109" s="11" t="s">
        <v>303</v>
      </c>
      <c r="E109" s="13" t="s">
        <v>89</v>
      </c>
      <c r="F109" s="12">
        <v>384</v>
      </c>
      <c r="G109" s="55">
        <v>0.12</v>
      </c>
      <c r="H109" s="55">
        <v>0</v>
      </c>
      <c r="I109" s="55">
        <v>0.12</v>
      </c>
      <c r="J109" s="55">
        <f t="shared" si="134"/>
        <v>0.12</v>
      </c>
      <c r="K109" s="55">
        <f t="shared" si="135"/>
        <v>0</v>
      </c>
      <c r="L109" s="55">
        <f t="shared" si="136"/>
        <v>46.08</v>
      </c>
      <c r="M109" s="55">
        <f t="shared" si="137"/>
        <v>46.08</v>
      </c>
      <c r="N109" s="14">
        <f t="shared" si="93"/>
        <v>1.7707810610907474E-5</v>
      </c>
      <c r="O109" s="72" t="s">
        <v>404</v>
      </c>
      <c r="P109" s="73">
        <f>IF(O109="BDI  PADRÃO",'BDI 2025'!$D$16,'BDI 2025'!$F$16)</f>
        <v>0.15190000000000001</v>
      </c>
      <c r="Q109" s="68">
        <f t="shared" si="138"/>
        <v>0</v>
      </c>
      <c r="R109" s="68">
        <f t="shared" si="139"/>
        <v>0.13</v>
      </c>
      <c r="S109" s="68">
        <f t="shared" si="140"/>
        <v>0.13</v>
      </c>
      <c r="T109" s="68">
        <f t="shared" si="141"/>
        <v>0</v>
      </c>
      <c r="U109" s="68">
        <f t="shared" si="142"/>
        <v>49.92</v>
      </c>
      <c r="V109" s="68">
        <f t="shared" si="143"/>
        <v>49.92</v>
      </c>
      <c r="W109" s="68">
        <f t="shared" si="144"/>
        <v>0</v>
      </c>
      <c r="X109" s="68">
        <f t="shared" si="145"/>
        <v>0.13</v>
      </c>
      <c r="Y109" s="68">
        <f t="shared" si="146"/>
        <v>0.13</v>
      </c>
      <c r="Z109" s="68">
        <f t="shared" si="147"/>
        <v>0</v>
      </c>
      <c r="AA109" s="68">
        <f t="shared" si="148"/>
        <v>49.92</v>
      </c>
      <c r="AB109" s="68">
        <f t="shared" si="149"/>
        <v>49.92</v>
      </c>
    </row>
    <row r="110" spans="1:28" ht="24" customHeight="1" x14ac:dyDescent="0.2">
      <c r="A110" s="11" t="s">
        <v>304</v>
      </c>
      <c r="B110" s="12" t="s">
        <v>305</v>
      </c>
      <c r="C110" s="11" t="s">
        <v>23</v>
      </c>
      <c r="D110" s="11" t="s">
        <v>306</v>
      </c>
      <c r="E110" s="13" t="s">
        <v>65</v>
      </c>
      <c r="F110" s="12">
        <v>192</v>
      </c>
      <c r="G110" s="55">
        <v>0.2</v>
      </c>
      <c r="H110" s="55">
        <v>0</v>
      </c>
      <c r="I110" s="55">
        <v>0.2</v>
      </c>
      <c r="J110" s="55">
        <f t="shared" si="134"/>
        <v>0.2</v>
      </c>
      <c r="K110" s="55">
        <f t="shared" si="135"/>
        <v>0</v>
      </c>
      <c r="L110" s="55">
        <f t="shared" si="136"/>
        <v>38.4</v>
      </c>
      <c r="M110" s="55">
        <f t="shared" si="137"/>
        <v>38.4</v>
      </c>
      <c r="N110" s="14">
        <f t="shared" si="93"/>
        <v>1.4756508842422896E-5</v>
      </c>
      <c r="O110" s="72" t="s">
        <v>404</v>
      </c>
      <c r="P110" s="73">
        <f>IF(O110="BDI  PADRÃO",'BDI 2025'!$D$16,'BDI 2025'!$F$16)</f>
        <v>0.15190000000000001</v>
      </c>
      <c r="Q110" s="68">
        <f t="shared" si="138"/>
        <v>0</v>
      </c>
      <c r="R110" s="68">
        <f t="shared" si="139"/>
        <v>0.23</v>
      </c>
      <c r="S110" s="68">
        <f t="shared" si="140"/>
        <v>0.23</v>
      </c>
      <c r="T110" s="68">
        <f t="shared" si="141"/>
        <v>0</v>
      </c>
      <c r="U110" s="68">
        <f t="shared" si="142"/>
        <v>44.16</v>
      </c>
      <c r="V110" s="68">
        <f t="shared" si="143"/>
        <v>44.16</v>
      </c>
      <c r="W110" s="68">
        <f t="shared" si="144"/>
        <v>0</v>
      </c>
      <c r="X110" s="68">
        <f t="shared" si="145"/>
        <v>0.23</v>
      </c>
      <c r="Y110" s="68">
        <f t="shared" si="146"/>
        <v>0.23</v>
      </c>
      <c r="Z110" s="68">
        <f t="shared" si="147"/>
        <v>0</v>
      </c>
      <c r="AA110" s="68">
        <f t="shared" si="148"/>
        <v>44.16</v>
      </c>
      <c r="AB110" s="68">
        <f t="shared" si="149"/>
        <v>44.16</v>
      </c>
    </row>
    <row r="111" spans="1:28" ht="24" customHeight="1" x14ac:dyDescent="0.2">
      <c r="A111" s="11" t="s">
        <v>307</v>
      </c>
      <c r="B111" s="12" t="s">
        <v>308</v>
      </c>
      <c r="C111" s="11" t="s">
        <v>60</v>
      </c>
      <c r="D111" s="11" t="s">
        <v>309</v>
      </c>
      <c r="E111" s="13" t="s">
        <v>89</v>
      </c>
      <c r="F111" s="12">
        <v>64</v>
      </c>
      <c r="G111" s="55">
        <v>1</v>
      </c>
      <c r="H111" s="55">
        <v>0</v>
      </c>
      <c r="I111" s="55">
        <v>1</v>
      </c>
      <c r="J111" s="55">
        <f t="shared" si="134"/>
        <v>1</v>
      </c>
      <c r="K111" s="55">
        <f t="shared" si="135"/>
        <v>0</v>
      </c>
      <c r="L111" s="55">
        <f t="shared" si="136"/>
        <v>64</v>
      </c>
      <c r="M111" s="55">
        <f t="shared" si="137"/>
        <v>64</v>
      </c>
      <c r="N111" s="14">
        <f t="shared" si="93"/>
        <v>2.4594181404038162E-5</v>
      </c>
      <c r="O111" s="72" t="s">
        <v>404</v>
      </c>
      <c r="P111" s="73">
        <f>IF(O111="BDI  PADRÃO",'BDI 2025'!$D$16,'BDI 2025'!$F$16)</f>
        <v>0.15190000000000001</v>
      </c>
      <c r="Q111" s="68">
        <f t="shared" si="138"/>
        <v>0</v>
      </c>
      <c r="R111" s="68">
        <f t="shared" si="139"/>
        <v>1.1499999999999999</v>
      </c>
      <c r="S111" s="68">
        <f t="shared" si="140"/>
        <v>1.1499999999999999</v>
      </c>
      <c r="T111" s="68">
        <f t="shared" si="141"/>
        <v>0</v>
      </c>
      <c r="U111" s="68">
        <f t="shared" si="142"/>
        <v>73.599999999999994</v>
      </c>
      <c r="V111" s="68">
        <f t="shared" si="143"/>
        <v>73.599999999999994</v>
      </c>
      <c r="W111" s="68">
        <f t="shared" si="144"/>
        <v>0</v>
      </c>
      <c r="X111" s="68">
        <f t="shared" si="145"/>
        <v>1.1499999999999999</v>
      </c>
      <c r="Y111" s="68">
        <f t="shared" si="146"/>
        <v>1.1499999999999999</v>
      </c>
      <c r="Z111" s="68">
        <f t="shared" si="147"/>
        <v>0</v>
      </c>
      <c r="AA111" s="68">
        <f t="shared" si="148"/>
        <v>73.599999999999994</v>
      </c>
      <c r="AB111" s="68">
        <f t="shared" si="149"/>
        <v>73.599999999999994</v>
      </c>
    </row>
    <row r="112" spans="1:28" ht="24" customHeight="1" x14ac:dyDescent="0.2">
      <c r="A112" s="11" t="s">
        <v>310</v>
      </c>
      <c r="B112" s="12" t="s">
        <v>311</v>
      </c>
      <c r="C112" s="11" t="s">
        <v>23</v>
      </c>
      <c r="D112" s="11" t="s">
        <v>312</v>
      </c>
      <c r="E112" s="13" t="s">
        <v>65</v>
      </c>
      <c r="F112" s="12">
        <v>64</v>
      </c>
      <c r="G112" s="55">
        <v>0.49</v>
      </c>
      <c r="H112" s="55">
        <v>0</v>
      </c>
      <c r="I112" s="55">
        <v>0.49</v>
      </c>
      <c r="J112" s="55">
        <f t="shared" si="134"/>
        <v>0.49</v>
      </c>
      <c r="K112" s="55">
        <f t="shared" si="135"/>
        <v>0</v>
      </c>
      <c r="L112" s="55">
        <f t="shared" si="136"/>
        <v>31.36</v>
      </c>
      <c r="M112" s="55">
        <f t="shared" si="137"/>
        <v>31.36</v>
      </c>
      <c r="N112" s="14">
        <f t="shared" si="93"/>
        <v>1.20511488879787E-5</v>
      </c>
      <c r="O112" s="72" t="s">
        <v>404</v>
      </c>
      <c r="P112" s="73">
        <f>IF(O112="BDI  PADRÃO",'BDI 2025'!$D$16,'BDI 2025'!$F$16)</f>
        <v>0.15190000000000001</v>
      </c>
      <c r="Q112" s="68">
        <f t="shared" si="138"/>
        <v>0</v>
      </c>
      <c r="R112" s="68">
        <f t="shared" si="139"/>
        <v>0.56000000000000005</v>
      </c>
      <c r="S112" s="68">
        <f t="shared" si="140"/>
        <v>0.56000000000000005</v>
      </c>
      <c r="T112" s="68">
        <f t="shared" si="141"/>
        <v>0</v>
      </c>
      <c r="U112" s="68">
        <f t="shared" si="142"/>
        <v>35.840000000000003</v>
      </c>
      <c r="V112" s="68">
        <f t="shared" si="143"/>
        <v>35.840000000000003</v>
      </c>
      <c r="W112" s="68">
        <f t="shared" si="144"/>
        <v>0</v>
      </c>
      <c r="X112" s="68">
        <f t="shared" si="145"/>
        <v>0.56000000000000005</v>
      </c>
      <c r="Y112" s="68">
        <f t="shared" si="146"/>
        <v>0.56000000000000005</v>
      </c>
      <c r="Z112" s="68">
        <f t="shared" si="147"/>
        <v>0</v>
      </c>
      <c r="AA112" s="68">
        <f t="shared" si="148"/>
        <v>35.840000000000003</v>
      </c>
      <c r="AB112" s="68">
        <f t="shared" si="149"/>
        <v>35.840000000000003</v>
      </c>
    </row>
    <row r="113" spans="1:28" ht="24" customHeight="1" x14ac:dyDescent="0.2">
      <c r="A113" s="4" t="s">
        <v>313</v>
      </c>
      <c r="B113" s="4"/>
      <c r="C113" s="4"/>
      <c r="D113" s="4" t="s">
        <v>120</v>
      </c>
      <c r="E113" s="4"/>
      <c r="F113" s="5"/>
      <c r="G113" s="52"/>
      <c r="H113" s="52"/>
      <c r="I113" s="52"/>
      <c r="J113" s="52"/>
      <c r="K113" s="52"/>
      <c r="L113" s="52"/>
      <c r="M113" s="53">
        <v>160024.54</v>
      </c>
      <c r="N113" s="6">
        <f t="shared" si="93"/>
        <v>6.1494883841527515E-2</v>
      </c>
      <c r="O113" s="69"/>
      <c r="P113" s="69"/>
      <c r="Q113" s="69"/>
      <c r="R113" s="69"/>
      <c r="S113" s="69"/>
      <c r="T113" s="69"/>
      <c r="U113" s="69"/>
      <c r="V113" s="70">
        <f>SUM(V114:V118)</f>
        <v>200231.46999999997</v>
      </c>
      <c r="W113" s="69"/>
      <c r="X113" s="69"/>
      <c r="Y113" s="69"/>
      <c r="Z113" s="69"/>
      <c r="AA113" s="69"/>
      <c r="AB113" s="70">
        <f>SUM(AB114:AB118)</f>
        <v>200231.46999999997</v>
      </c>
    </row>
    <row r="114" spans="1:28" ht="24" customHeight="1" x14ac:dyDescent="0.2">
      <c r="A114" s="7" t="s">
        <v>314</v>
      </c>
      <c r="B114" s="8" t="s">
        <v>315</v>
      </c>
      <c r="C114" s="7" t="s">
        <v>48</v>
      </c>
      <c r="D114" s="7" t="s">
        <v>316</v>
      </c>
      <c r="E114" s="9" t="s">
        <v>32</v>
      </c>
      <c r="F114" s="8">
        <v>292.73</v>
      </c>
      <c r="G114" s="54">
        <v>297.16000000000003</v>
      </c>
      <c r="H114" s="54">
        <v>5.03</v>
      </c>
      <c r="I114" s="54">
        <v>292.13</v>
      </c>
      <c r="J114" s="54">
        <f>TRUNC(G114 * (1 + 0 / 100), 2)</f>
        <v>297.16000000000003</v>
      </c>
      <c r="K114" s="54">
        <f>TRUNC(F114 * H114, 2)</f>
        <v>1472.43</v>
      </c>
      <c r="L114" s="54">
        <f>M114 - K114</f>
        <v>85515.21</v>
      </c>
      <c r="M114" s="54">
        <f>TRUNC(F114 * J114, 2)</f>
        <v>86987.64</v>
      </c>
      <c r="N114" s="10">
        <f t="shared" si="93"/>
        <v>3.3427965594830723E-2</v>
      </c>
      <c r="O114" s="71" t="s">
        <v>359</v>
      </c>
      <c r="P114" s="67">
        <f>IF(O114="BDI  PADRÃO",'BDI 2025'!$D$16,'BDI 2025'!$F$16)</f>
        <v>0.25130000000000002</v>
      </c>
      <c r="Q114" s="68">
        <f t="shared" ref="Q114:Q118" si="150">TRUNC($H114*(1+$P114),2)</f>
        <v>6.29</v>
      </c>
      <c r="R114" s="68">
        <f t="shared" ref="R114:R118" si="151">S114-Q114</f>
        <v>365.53999999999996</v>
      </c>
      <c r="S114" s="68">
        <f t="shared" ref="S114:S118" si="152">TRUNC($G114*(1+$P114),2)</f>
        <v>371.83</v>
      </c>
      <c r="T114" s="68">
        <f t="shared" ref="T114:T118" si="153">TRUNC(Q114*$F114,2)</f>
        <v>1841.27</v>
      </c>
      <c r="U114" s="68">
        <f t="shared" ref="U114:U118" si="154">V114-T114</f>
        <v>107004.51999999999</v>
      </c>
      <c r="V114" s="68">
        <f t="shared" ref="V114:V118" si="155">TRUNC(S114*$F114,2)</f>
        <v>108845.79</v>
      </c>
      <c r="W114" s="68">
        <f t="shared" ref="W114:W118" si="156">TRUNC($H114*(1+$P114-$R$1),2)</f>
        <v>6.29</v>
      </c>
      <c r="X114" s="68">
        <f t="shared" ref="X114:X118" si="157">Y114-W114</f>
        <v>365.53999999999996</v>
      </c>
      <c r="Y114" s="68">
        <f t="shared" ref="Y114:Y118" si="158">TRUNC($G114*(1+$P114-$R$1),2)</f>
        <v>371.83</v>
      </c>
      <c r="Z114" s="68">
        <f t="shared" ref="Z114:Z118" si="159">TRUNC(W114*$F114,2)</f>
        <v>1841.27</v>
      </c>
      <c r="AA114" s="68">
        <f t="shared" ref="AA114:AA118" si="160">AB114-Z114</f>
        <v>107004.51999999999</v>
      </c>
      <c r="AB114" s="68">
        <f t="shared" ref="AB114:AB118" si="161">TRUNC(Y114*$F114,2)</f>
        <v>108845.79</v>
      </c>
    </row>
    <row r="115" spans="1:28" ht="39" customHeight="1" x14ac:dyDescent="0.2">
      <c r="A115" s="7" t="s">
        <v>317</v>
      </c>
      <c r="B115" s="8" t="s">
        <v>292</v>
      </c>
      <c r="C115" s="7" t="s">
        <v>60</v>
      </c>
      <c r="D115" s="7" t="s">
        <v>293</v>
      </c>
      <c r="E115" s="9" t="s">
        <v>32</v>
      </c>
      <c r="F115" s="8">
        <v>292.73</v>
      </c>
      <c r="G115" s="54">
        <v>29.38</v>
      </c>
      <c r="H115" s="54">
        <v>13.31</v>
      </c>
      <c r="I115" s="54">
        <v>16.07</v>
      </c>
      <c r="J115" s="54">
        <f>TRUNC(G115 * (1 + 0 / 100), 2)</f>
        <v>29.38</v>
      </c>
      <c r="K115" s="54">
        <f>TRUNC(F115 * H115, 2)</f>
        <v>3896.23</v>
      </c>
      <c r="L115" s="54">
        <f>M115 - K115</f>
        <v>4704.17</v>
      </c>
      <c r="M115" s="54">
        <f>TRUNC(F115 * J115, 2)</f>
        <v>8600.4</v>
      </c>
      <c r="N115" s="10">
        <f t="shared" si="93"/>
        <v>3.304996839801403E-3</v>
      </c>
      <c r="O115" s="71" t="s">
        <v>359</v>
      </c>
      <c r="P115" s="67">
        <f>IF(O115="BDI  PADRÃO",'BDI 2025'!$D$16,'BDI 2025'!$F$16)</f>
        <v>0.25130000000000002</v>
      </c>
      <c r="Q115" s="68">
        <f t="shared" si="150"/>
        <v>16.649999999999999</v>
      </c>
      <c r="R115" s="68">
        <f t="shared" si="151"/>
        <v>20.11</v>
      </c>
      <c r="S115" s="68">
        <f t="shared" si="152"/>
        <v>36.76</v>
      </c>
      <c r="T115" s="68">
        <f t="shared" si="153"/>
        <v>4873.95</v>
      </c>
      <c r="U115" s="68">
        <f t="shared" si="154"/>
        <v>5886.8</v>
      </c>
      <c r="V115" s="68">
        <f t="shared" si="155"/>
        <v>10760.75</v>
      </c>
      <c r="W115" s="68">
        <f t="shared" si="156"/>
        <v>16.649999999999999</v>
      </c>
      <c r="X115" s="68">
        <f t="shared" si="157"/>
        <v>20.11</v>
      </c>
      <c r="Y115" s="68">
        <f t="shared" si="158"/>
        <v>36.76</v>
      </c>
      <c r="Z115" s="68">
        <f t="shared" si="159"/>
        <v>4873.95</v>
      </c>
      <c r="AA115" s="68">
        <f t="shared" si="160"/>
        <v>5886.8</v>
      </c>
      <c r="AB115" s="68">
        <f t="shared" si="161"/>
        <v>10760.75</v>
      </c>
    </row>
    <row r="116" spans="1:28" ht="51.95" customHeight="1" x14ac:dyDescent="0.2">
      <c r="A116" s="7" t="s">
        <v>318</v>
      </c>
      <c r="B116" s="8" t="s">
        <v>295</v>
      </c>
      <c r="C116" s="7" t="s">
        <v>60</v>
      </c>
      <c r="D116" s="7" t="s">
        <v>296</v>
      </c>
      <c r="E116" s="9" t="s">
        <v>32</v>
      </c>
      <c r="F116" s="8">
        <v>292.73</v>
      </c>
      <c r="G116" s="54">
        <v>64.98</v>
      </c>
      <c r="H116" s="54">
        <v>19.96</v>
      </c>
      <c r="I116" s="54">
        <v>45.02</v>
      </c>
      <c r="J116" s="54">
        <f>TRUNC(G116 * (1 + 0 / 100), 2)</f>
        <v>64.98</v>
      </c>
      <c r="K116" s="54">
        <f>TRUNC(F116 * H116, 2)</f>
        <v>5842.89</v>
      </c>
      <c r="L116" s="54">
        <f>M116 - K116</f>
        <v>13178.7</v>
      </c>
      <c r="M116" s="54">
        <f>TRUNC(F116 * J116, 2)</f>
        <v>19021.59</v>
      </c>
      <c r="N116" s="10">
        <f t="shared" si="93"/>
        <v>7.3096942977068481E-3</v>
      </c>
      <c r="O116" s="71" t="s">
        <v>359</v>
      </c>
      <c r="P116" s="67">
        <f>IF(O116="BDI  PADRÃO",'BDI 2025'!$D$16,'BDI 2025'!$F$16)</f>
        <v>0.25130000000000002</v>
      </c>
      <c r="Q116" s="68">
        <f t="shared" si="150"/>
        <v>24.97</v>
      </c>
      <c r="R116" s="68">
        <f t="shared" si="151"/>
        <v>56.33</v>
      </c>
      <c r="S116" s="68">
        <f t="shared" si="152"/>
        <v>81.3</v>
      </c>
      <c r="T116" s="68">
        <f t="shared" si="153"/>
        <v>7309.46</v>
      </c>
      <c r="U116" s="68">
        <f t="shared" si="154"/>
        <v>16489.48</v>
      </c>
      <c r="V116" s="68">
        <f t="shared" si="155"/>
        <v>23798.94</v>
      </c>
      <c r="W116" s="68">
        <f t="shared" si="156"/>
        <v>24.97</v>
      </c>
      <c r="X116" s="68">
        <f t="shared" si="157"/>
        <v>56.33</v>
      </c>
      <c r="Y116" s="68">
        <f t="shared" si="158"/>
        <v>81.3</v>
      </c>
      <c r="Z116" s="68">
        <f t="shared" si="159"/>
        <v>7309.46</v>
      </c>
      <c r="AA116" s="68">
        <f t="shared" si="160"/>
        <v>16489.48</v>
      </c>
      <c r="AB116" s="68">
        <f t="shared" si="161"/>
        <v>23798.94</v>
      </c>
    </row>
    <row r="117" spans="1:28" ht="39" customHeight="1" x14ac:dyDescent="0.2">
      <c r="A117" s="7" t="s">
        <v>319</v>
      </c>
      <c r="B117" s="8" t="s">
        <v>320</v>
      </c>
      <c r="C117" s="7" t="s">
        <v>23</v>
      </c>
      <c r="D117" s="7" t="s">
        <v>321</v>
      </c>
      <c r="E117" s="9" t="s">
        <v>32</v>
      </c>
      <c r="F117" s="8">
        <v>199.4</v>
      </c>
      <c r="G117" s="54">
        <v>227.65</v>
      </c>
      <c r="H117" s="54">
        <v>42.85</v>
      </c>
      <c r="I117" s="54">
        <v>184.8</v>
      </c>
      <c r="J117" s="54">
        <f>TRUNC(G117 * (1 + 0 / 100), 2)</f>
        <v>227.65</v>
      </c>
      <c r="K117" s="54">
        <f>TRUNC(F117 * H117, 2)</f>
        <v>8544.2900000000009</v>
      </c>
      <c r="L117" s="54">
        <f>M117 - K117</f>
        <v>36849.120000000003</v>
      </c>
      <c r="M117" s="54">
        <f>TRUNC(F117 * J117, 2)</f>
        <v>45393.41</v>
      </c>
      <c r="N117" s="10">
        <f t="shared" si="93"/>
        <v>1.7443965001373126E-2</v>
      </c>
      <c r="O117" s="71" t="s">
        <v>359</v>
      </c>
      <c r="P117" s="67">
        <f>IF(O117="BDI  PADRÃO",'BDI 2025'!$D$16,'BDI 2025'!$F$16)</f>
        <v>0.25130000000000002</v>
      </c>
      <c r="Q117" s="68">
        <f t="shared" si="150"/>
        <v>53.61</v>
      </c>
      <c r="R117" s="68">
        <f t="shared" si="151"/>
        <v>231.24</v>
      </c>
      <c r="S117" s="68">
        <f t="shared" si="152"/>
        <v>284.85000000000002</v>
      </c>
      <c r="T117" s="68">
        <f t="shared" si="153"/>
        <v>10689.83</v>
      </c>
      <c r="U117" s="68">
        <f t="shared" si="154"/>
        <v>46109.259999999995</v>
      </c>
      <c r="V117" s="68">
        <f t="shared" si="155"/>
        <v>56799.09</v>
      </c>
      <c r="W117" s="68">
        <f t="shared" si="156"/>
        <v>53.61</v>
      </c>
      <c r="X117" s="68">
        <f t="shared" si="157"/>
        <v>231.24</v>
      </c>
      <c r="Y117" s="68">
        <f t="shared" si="158"/>
        <v>284.85000000000002</v>
      </c>
      <c r="Z117" s="68">
        <f t="shared" si="159"/>
        <v>10689.83</v>
      </c>
      <c r="AA117" s="68">
        <f t="shared" si="160"/>
        <v>46109.259999999995</v>
      </c>
      <c r="AB117" s="68">
        <f t="shared" si="161"/>
        <v>56799.09</v>
      </c>
    </row>
    <row r="118" spans="1:28" ht="26.1" customHeight="1" x14ac:dyDescent="0.2">
      <c r="A118" s="7" t="s">
        <v>322</v>
      </c>
      <c r="B118" s="8" t="s">
        <v>323</v>
      </c>
      <c r="C118" s="7" t="s">
        <v>23</v>
      </c>
      <c r="D118" s="7" t="s">
        <v>324</v>
      </c>
      <c r="E118" s="9" t="s">
        <v>45</v>
      </c>
      <c r="F118" s="8">
        <v>0.8</v>
      </c>
      <c r="G118" s="54">
        <v>26.88</v>
      </c>
      <c r="H118" s="54">
        <v>4.2699999999999996</v>
      </c>
      <c r="I118" s="54">
        <v>22.61</v>
      </c>
      <c r="J118" s="54">
        <f>TRUNC(G118 * (1 + 0 / 100), 2)</f>
        <v>26.88</v>
      </c>
      <c r="K118" s="54">
        <f>TRUNC(F118 * H118, 2)</f>
        <v>3.41</v>
      </c>
      <c r="L118" s="54">
        <f>M118 - K118</f>
        <v>18.09</v>
      </c>
      <c r="M118" s="54">
        <f>TRUNC(F118 * J118, 2)</f>
        <v>21.5</v>
      </c>
      <c r="N118" s="10">
        <f t="shared" si="93"/>
        <v>8.2621078154190697E-6</v>
      </c>
      <c r="O118" s="71" t="s">
        <v>359</v>
      </c>
      <c r="P118" s="67">
        <f>IF(O118="BDI  PADRÃO",'BDI 2025'!$D$16,'BDI 2025'!$F$16)</f>
        <v>0.25130000000000002</v>
      </c>
      <c r="Q118" s="68">
        <f t="shared" si="150"/>
        <v>5.34</v>
      </c>
      <c r="R118" s="68">
        <f t="shared" si="151"/>
        <v>28.290000000000003</v>
      </c>
      <c r="S118" s="68">
        <f t="shared" si="152"/>
        <v>33.630000000000003</v>
      </c>
      <c r="T118" s="68">
        <f t="shared" si="153"/>
        <v>4.2699999999999996</v>
      </c>
      <c r="U118" s="68">
        <f t="shared" si="154"/>
        <v>22.63</v>
      </c>
      <c r="V118" s="68">
        <f t="shared" si="155"/>
        <v>26.9</v>
      </c>
      <c r="W118" s="68">
        <f t="shared" si="156"/>
        <v>5.34</v>
      </c>
      <c r="X118" s="68">
        <f t="shared" si="157"/>
        <v>28.290000000000003</v>
      </c>
      <c r="Y118" s="68">
        <f t="shared" si="158"/>
        <v>33.630000000000003</v>
      </c>
      <c r="Z118" s="68">
        <f t="shared" si="159"/>
        <v>4.2699999999999996</v>
      </c>
      <c r="AA118" s="68">
        <f t="shared" si="160"/>
        <v>22.63</v>
      </c>
      <c r="AB118" s="68">
        <f t="shared" si="161"/>
        <v>26.9</v>
      </c>
    </row>
    <row r="119" spans="1:28" ht="24" customHeight="1" x14ac:dyDescent="0.2">
      <c r="A119" s="4" t="s">
        <v>325</v>
      </c>
      <c r="B119" s="4"/>
      <c r="C119" s="4"/>
      <c r="D119" s="4" t="s">
        <v>326</v>
      </c>
      <c r="E119" s="4"/>
      <c r="F119" s="5"/>
      <c r="G119" s="52"/>
      <c r="H119" s="52"/>
      <c r="I119" s="52"/>
      <c r="J119" s="52"/>
      <c r="K119" s="52"/>
      <c r="L119" s="52"/>
      <c r="M119" s="53">
        <v>953.1</v>
      </c>
      <c r="N119" s="6">
        <f t="shared" si="93"/>
        <v>3.6626116087794958E-4</v>
      </c>
      <c r="O119" s="69"/>
      <c r="P119" s="69"/>
      <c r="Q119" s="69"/>
      <c r="R119" s="69"/>
      <c r="S119" s="69"/>
      <c r="T119" s="69"/>
      <c r="U119" s="69"/>
      <c r="V119" s="70">
        <f>SUM(V120:V121)</f>
        <v>1192.58</v>
      </c>
      <c r="W119" s="69"/>
      <c r="X119" s="69"/>
      <c r="Y119" s="69"/>
      <c r="Z119" s="69"/>
      <c r="AA119" s="69"/>
      <c r="AB119" s="70">
        <f>SUM(AB120:AB121)</f>
        <v>1192.58</v>
      </c>
    </row>
    <row r="120" spans="1:28" ht="65.099999999999994" customHeight="1" x14ac:dyDescent="0.2">
      <c r="A120" s="7" t="s">
        <v>327</v>
      </c>
      <c r="B120" s="8" t="s">
        <v>328</v>
      </c>
      <c r="C120" s="7" t="s">
        <v>23</v>
      </c>
      <c r="D120" s="7" t="s">
        <v>329</v>
      </c>
      <c r="E120" s="9" t="s">
        <v>65</v>
      </c>
      <c r="F120" s="8">
        <v>6</v>
      </c>
      <c r="G120" s="54">
        <v>145.78</v>
      </c>
      <c r="H120" s="54">
        <v>57.82</v>
      </c>
      <c r="I120" s="54">
        <v>87.96</v>
      </c>
      <c r="J120" s="54">
        <f>TRUNC(G120 * (1 + 0 / 100), 2)</f>
        <v>145.78</v>
      </c>
      <c r="K120" s="54">
        <f>TRUNC(F120 * H120, 2)</f>
        <v>346.92</v>
      </c>
      <c r="L120" s="54">
        <f>M120 - K120</f>
        <v>527.76</v>
      </c>
      <c r="M120" s="54">
        <f>TRUNC(F120 * J120, 2)</f>
        <v>874.68</v>
      </c>
      <c r="N120" s="10">
        <f t="shared" si="93"/>
        <v>3.3612560297631401E-4</v>
      </c>
      <c r="O120" s="71" t="s">
        <v>359</v>
      </c>
      <c r="P120" s="67">
        <f>IF(O120="BDI  PADRÃO",'BDI 2025'!$D$16,'BDI 2025'!$F$16)</f>
        <v>0.25130000000000002</v>
      </c>
      <c r="Q120" s="68">
        <f t="shared" ref="Q120:Q121" si="162">TRUNC($H120*(1+$P120),2)</f>
        <v>72.349999999999994</v>
      </c>
      <c r="R120" s="68">
        <f t="shared" ref="R120:R121" si="163">S120-Q120</f>
        <v>110.06</v>
      </c>
      <c r="S120" s="68">
        <f t="shared" ref="S120:S121" si="164">TRUNC($G120*(1+$P120),2)</f>
        <v>182.41</v>
      </c>
      <c r="T120" s="68">
        <f t="shared" ref="T120:T121" si="165">TRUNC(Q120*$F120,2)</f>
        <v>434.1</v>
      </c>
      <c r="U120" s="68">
        <f t="shared" ref="U120:U121" si="166">V120-T120</f>
        <v>660.36</v>
      </c>
      <c r="V120" s="68">
        <f t="shared" ref="V120:V121" si="167">TRUNC(S120*$F120,2)</f>
        <v>1094.46</v>
      </c>
      <c r="W120" s="68">
        <f t="shared" ref="W120:W121" si="168">TRUNC($H120*(1+$P120-$R$1),2)</f>
        <v>72.349999999999994</v>
      </c>
      <c r="X120" s="68">
        <f t="shared" ref="X120:X121" si="169">Y120-W120</f>
        <v>110.06</v>
      </c>
      <c r="Y120" s="68">
        <f t="shared" ref="Y120:Y121" si="170">TRUNC($G120*(1+$P120-$R$1),2)</f>
        <v>182.41</v>
      </c>
      <c r="Z120" s="68">
        <f t="shared" ref="Z120:Z121" si="171">TRUNC(W120*$F120,2)</f>
        <v>434.1</v>
      </c>
      <c r="AA120" s="68">
        <f t="shared" ref="AA120:AA121" si="172">AB120-Z120</f>
        <v>660.36</v>
      </c>
      <c r="AB120" s="68">
        <f t="shared" ref="AB120:AB121" si="173">TRUNC(Y120*$F120,2)</f>
        <v>1094.46</v>
      </c>
    </row>
    <row r="121" spans="1:28" ht="24" customHeight="1" x14ac:dyDescent="0.2">
      <c r="A121" s="7" t="s">
        <v>330</v>
      </c>
      <c r="B121" s="8" t="s">
        <v>331</v>
      </c>
      <c r="C121" s="7" t="s">
        <v>60</v>
      </c>
      <c r="D121" s="7" t="s">
        <v>332</v>
      </c>
      <c r="E121" s="9" t="s">
        <v>89</v>
      </c>
      <c r="F121" s="8">
        <v>2</v>
      </c>
      <c r="G121" s="54">
        <v>39.21</v>
      </c>
      <c r="H121" s="54">
        <v>8.51</v>
      </c>
      <c r="I121" s="54">
        <v>30.7</v>
      </c>
      <c r="J121" s="54">
        <f>TRUNC(G121 * (1 + 0 / 100), 2)</f>
        <v>39.21</v>
      </c>
      <c r="K121" s="54">
        <f>TRUNC(F121 * H121, 2)</f>
        <v>17.02</v>
      </c>
      <c r="L121" s="54">
        <f>M121 - K121</f>
        <v>61.400000000000006</v>
      </c>
      <c r="M121" s="54">
        <f>TRUNC(F121 * J121, 2)</f>
        <v>78.42</v>
      </c>
      <c r="N121" s="10">
        <f t="shared" si="93"/>
        <v>3.0135557901635509E-5</v>
      </c>
      <c r="O121" s="71" t="s">
        <v>359</v>
      </c>
      <c r="P121" s="67">
        <f>IF(O121="BDI  PADRÃO",'BDI 2025'!$D$16,'BDI 2025'!$F$16)</f>
        <v>0.25130000000000002</v>
      </c>
      <c r="Q121" s="68">
        <f t="shared" si="162"/>
        <v>10.64</v>
      </c>
      <c r="R121" s="68">
        <f t="shared" si="163"/>
        <v>38.42</v>
      </c>
      <c r="S121" s="68">
        <f t="shared" si="164"/>
        <v>49.06</v>
      </c>
      <c r="T121" s="68">
        <f t="shared" si="165"/>
        <v>21.28</v>
      </c>
      <c r="U121" s="68">
        <f t="shared" si="166"/>
        <v>76.84</v>
      </c>
      <c r="V121" s="68">
        <f t="shared" si="167"/>
        <v>98.12</v>
      </c>
      <c r="W121" s="68">
        <f t="shared" si="168"/>
        <v>10.64</v>
      </c>
      <c r="X121" s="68">
        <f t="shared" si="169"/>
        <v>38.42</v>
      </c>
      <c r="Y121" s="68">
        <f t="shared" si="170"/>
        <v>49.06</v>
      </c>
      <c r="Z121" s="68">
        <f t="shared" si="171"/>
        <v>21.28</v>
      </c>
      <c r="AA121" s="68">
        <f t="shared" si="172"/>
        <v>76.84</v>
      </c>
      <c r="AB121" s="68">
        <f t="shared" si="173"/>
        <v>98.12</v>
      </c>
    </row>
    <row r="122" spans="1:28" ht="24" customHeight="1" x14ac:dyDescent="0.2">
      <c r="A122" s="4" t="s">
        <v>333</v>
      </c>
      <c r="B122" s="4"/>
      <c r="C122" s="4"/>
      <c r="D122" s="4" t="s">
        <v>334</v>
      </c>
      <c r="E122" s="4"/>
      <c r="F122" s="5"/>
      <c r="G122" s="52"/>
      <c r="H122" s="52"/>
      <c r="I122" s="52"/>
      <c r="J122" s="52"/>
      <c r="K122" s="52"/>
      <c r="L122" s="52"/>
      <c r="M122" s="53">
        <v>10529.62</v>
      </c>
      <c r="N122" s="6">
        <f t="shared" si="93"/>
        <v>4.0463653811810673E-3</v>
      </c>
      <c r="O122" s="69"/>
      <c r="P122" s="69"/>
      <c r="Q122" s="69"/>
      <c r="R122" s="69"/>
      <c r="S122" s="69"/>
      <c r="T122" s="69"/>
      <c r="U122" s="69"/>
      <c r="V122" s="70">
        <f>SUM(V123:V125)</f>
        <v>12609.919999999998</v>
      </c>
      <c r="W122" s="69"/>
      <c r="X122" s="69"/>
      <c r="Y122" s="69"/>
      <c r="Z122" s="69"/>
      <c r="AA122" s="69"/>
      <c r="AB122" s="70">
        <f>SUM(AB123:AB125)</f>
        <v>12609.919999999998</v>
      </c>
    </row>
    <row r="123" spans="1:28" ht="26.1" customHeight="1" x14ac:dyDescent="0.2">
      <c r="A123" s="7" t="s">
        <v>335</v>
      </c>
      <c r="B123" s="8" t="s">
        <v>336</v>
      </c>
      <c r="C123" s="7" t="s">
        <v>48</v>
      </c>
      <c r="D123" s="7" t="s">
        <v>337</v>
      </c>
      <c r="E123" s="9" t="s">
        <v>65</v>
      </c>
      <c r="F123" s="8">
        <v>6</v>
      </c>
      <c r="G123" s="54">
        <v>542.87</v>
      </c>
      <c r="H123" s="54">
        <v>173.16</v>
      </c>
      <c r="I123" s="54">
        <v>369.71</v>
      </c>
      <c r="J123" s="54">
        <f>TRUNC(G123 * (1 + 0 / 100), 2)</f>
        <v>542.87</v>
      </c>
      <c r="K123" s="54">
        <f>TRUNC(F123 * H123, 2)</f>
        <v>1038.96</v>
      </c>
      <c r="L123" s="54">
        <f>M123 - K123</f>
        <v>2218.2599999999998</v>
      </c>
      <c r="M123" s="54">
        <f>TRUNC(F123 * J123, 2)</f>
        <v>3257.22</v>
      </c>
      <c r="N123" s="10">
        <f t="shared" si="93"/>
        <v>1.2516978055134558E-3</v>
      </c>
      <c r="O123" s="71" t="s">
        <v>359</v>
      </c>
      <c r="P123" s="67">
        <f>IF(O123="BDI  PADRÃO",'BDI 2025'!$D$16,'BDI 2025'!$F$16)</f>
        <v>0.25130000000000002</v>
      </c>
      <c r="Q123" s="68">
        <f t="shared" ref="Q123:Q125" si="174">TRUNC($H123*(1+$P123),2)</f>
        <v>216.67</v>
      </c>
      <c r="R123" s="68">
        <f t="shared" ref="R123:R125" si="175">S123-Q123</f>
        <v>462.62</v>
      </c>
      <c r="S123" s="68">
        <f t="shared" ref="S123:S125" si="176">TRUNC($G123*(1+$P123),2)</f>
        <v>679.29</v>
      </c>
      <c r="T123" s="68">
        <f t="shared" ref="T123:T125" si="177">TRUNC(Q123*$F123,2)</f>
        <v>1300.02</v>
      </c>
      <c r="U123" s="68">
        <f t="shared" ref="U123:U125" si="178">V123-T123</f>
        <v>2775.72</v>
      </c>
      <c r="V123" s="68">
        <f t="shared" ref="V123:V125" si="179">TRUNC(S123*$F123,2)</f>
        <v>4075.74</v>
      </c>
      <c r="W123" s="68">
        <f t="shared" ref="W123:W125" si="180">TRUNC($H123*(1+$P123-$R$1),2)</f>
        <v>216.67</v>
      </c>
      <c r="X123" s="68">
        <f t="shared" ref="X123:X125" si="181">Y123-W123</f>
        <v>462.62</v>
      </c>
      <c r="Y123" s="68">
        <f t="shared" ref="Y123:Y125" si="182">TRUNC($G123*(1+$P123-$R$1),2)</f>
        <v>679.29</v>
      </c>
      <c r="Z123" s="68">
        <f t="shared" ref="Z123:Z125" si="183">TRUNC(W123*$F123,2)</f>
        <v>1300.02</v>
      </c>
      <c r="AA123" s="68">
        <f t="shared" ref="AA123:AA125" si="184">AB123-Z123</f>
        <v>2775.72</v>
      </c>
      <c r="AB123" s="68">
        <f t="shared" ref="AB123:AB125" si="185">TRUNC(Y123*$F123,2)</f>
        <v>4075.74</v>
      </c>
    </row>
    <row r="124" spans="1:28" ht="26.1" customHeight="1" x14ac:dyDescent="0.2">
      <c r="A124" s="7" t="s">
        <v>338</v>
      </c>
      <c r="B124" s="8" t="s">
        <v>339</v>
      </c>
      <c r="C124" s="7" t="s">
        <v>48</v>
      </c>
      <c r="D124" s="7" t="s">
        <v>340</v>
      </c>
      <c r="E124" s="9" t="s">
        <v>65</v>
      </c>
      <c r="F124" s="8">
        <v>4</v>
      </c>
      <c r="G124" s="54">
        <v>398.5</v>
      </c>
      <c r="H124" s="54">
        <v>138.54</v>
      </c>
      <c r="I124" s="54">
        <v>259.95999999999998</v>
      </c>
      <c r="J124" s="54">
        <f>TRUNC(G124 * (1 + 0 / 100), 2)</f>
        <v>398.5</v>
      </c>
      <c r="K124" s="54">
        <f>TRUNC(F124 * H124, 2)</f>
        <v>554.16</v>
      </c>
      <c r="L124" s="54">
        <f>M124 - K124</f>
        <v>1039.8400000000001</v>
      </c>
      <c r="M124" s="54">
        <f>TRUNC(F124 * J124, 2)</f>
        <v>1594</v>
      </c>
      <c r="N124" s="10">
        <f t="shared" si="93"/>
        <v>6.125488305943255E-4</v>
      </c>
      <c r="O124" s="71" t="s">
        <v>359</v>
      </c>
      <c r="P124" s="67">
        <f>IF(O124="BDI  PADRÃO",'BDI 2025'!$D$16,'BDI 2025'!$F$16)</f>
        <v>0.25130000000000002</v>
      </c>
      <c r="Q124" s="68">
        <f t="shared" si="174"/>
        <v>173.35</v>
      </c>
      <c r="R124" s="68">
        <f t="shared" si="175"/>
        <v>325.28999999999996</v>
      </c>
      <c r="S124" s="68">
        <f t="shared" si="176"/>
        <v>498.64</v>
      </c>
      <c r="T124" s="68">
        <f t="shared" si="177"/>
        <v>693.4</v>
      </c>
      <c r="U124" s="68">
        <f t="shared" si="178"/>
        <v>1301.1599999999999</v>
      </c>
      <c r="V124" s="68">
        <f t="shared" si="179"/>
        <v>1994.56</v>
      </c>
      <c r="W124" s="68">
        <f t="shared" si="180"/>
        <v>173.35</v>
      </c>
      <c r="X124" s="68">
        <f t="shared" si="181"/>
        <v>325.28999999999996</v>
      </c>
      <c r="Y124" s="68">
        <f t="shared" si="182"/>
        <v>498.64</v>
      </c>
      <c r="Z124" s="68">
        <f t="shared" si="183"/>
        <v>693.4</v>
      </c>
      <c r="AA124" s="68">
        <f t="shared" si="184"/>
        <v>1301.1599999999999</v>
      </c>
      <c r="AB124" s="68">
        <f t="shared" si="185"/>
        <v>1994.56</v>
      </c>
    </row>
    <row r="125" spans="1:28" ht="26.1" customHeight="1" x14ac:dyDescent="0.2">
      <c r="A125" s="7" t="s">
        <v>341</v>
      </c>
      <c r="B125" s="8" t="s">
        <v>342</v>
      </c>
      <c r="C125" s="7" t="s">
        <v>60</v>
      </c>
      <c r="D125" s="7" t="s">
        <v>343</v>
      </c>
      <c r="E125" s="9" t="s">
        <v>344</v>
      </c>
      <c r="F125" s="8">
        <v>189.28</v>
      </c>
      <c r="G125" s="54">
        <v>30</v>
      </c>
      <c r="H125" s="54">
        <v>0</v>
      </c>
      <c r="I125" s="54">
        <v>30</v>
      </c>
      <c r="J125" s="54">
        <f>TRUNC(G125 * (1 + 0 / 100), 2)</f>
        <v>30</v>
      </c>
      <c r="K125" s="54">
        <f>TRUNC(F125 * H125, 2)</f>
        <v>0</v>
      </c>
      <c r="L125" s="54">
        <f>M125 - K125</f>
        <v>5678.4</v>
      </c>
      <c r="M125" s="54">
        <f>TRUNC(F125 * J125, 2)</f>
        <v>5678.4</v>
      </c>
      <c r="N125" s="10">
        <f t="shared" si="93"/>
        <v>2.1821187450732859E-3</v>
      </c>
      <c r="O125" s="71" t="s">
        <v>404</v>
      </c>
      <c r="P125" s="67">
        <f>IF(O125="BDI  PADRÃO",'BDI 2025'!$D$16,'BDI 2025'!$F$16)</f>
        <v>0.15190000000000001</v>
      </c>
      <c r="Q125" s="68">
        <f t="shared" si="174"/>
        <v>0</v>
      </c>
      <c r="R125" s="68">
        <f t="shared" si="175"/>
        <v>34.549999999999997</v>
      </c>
      <c r="S125" s="68">
        <f t="shared" si="176"/>
        <v>34.549999999999997</v>
      </c>
      <c r="T125" s="68">
        <f t="shared" si="177"/>
        <v>0</v>
      </c>
      <c r="U125" s="68">
        <f t="shared" si="178"/>
        <v>6539.62</v>
      </c>
      <c r="V125" s="68">
        <f t="shared" si="179"/>
        <v>6539.62</v>
      </c>
      <c r="W125" s="68">
        <f t="shared" si="180"/>
        <v>0</v>
      </c>
      <c r="X125" s="68">
        <f t="shared" si="181"/>
        <v>34.549999999999997</v>
      </c>
      <c r="Y125" s="68">
        <f t="shared" si="182"/>
        <v>34.549999999999997</v>
      </c>
      <c r="Z125" s="68">
        <f t="shared" si="183"/>
        <v>0</v>
      </c>
      <c r="AA125" s="68">
        <f t="shared" si="184"/>
        <v>6539.62</v>
      </c>
      <c r="AB125" s="68">
        <f t="shared" si="185"/>
        <v>6539.62</v>
      </c>
    </row>
    <row r="126" spans="1:28" x14ac:dyDescent="0.25">
      <c r="A126" s="15"/>
      <c r="B126" s="15"/>
      <c r="C126" s="15"/>
      <c r="D126" s="15"/>
      <c r="E126" s="15"/>
      <c r="F126" s="15"/>
      <c r="G126" s="56"/>
      <c r="H126" s="56"/>
      <c r="I126" s="56"/>
      <c r="J126" s="56" t="s">
        <v>345</v>
      </c>
      <c r="K126" s="56" t="s">
        <v>346</v>
      </c>
      <c r="L126" s="56" t="s">
        <v>347</v>
      </c>
      <c r="M126" s="56" t="s">
        <v>348</v>
      </c>
      <c r="N126" s="15"/>
    </row>
    <row r="127" spans="1:28" ht="14.25" x14ac:dyDescent="0.2">
      <c r="A127" s="16"/>
      <c r="B127" s="16"/>
      <c r="C127" s="16"/>
      <c r="D127" s="16"/>
      <c r="E127" s="16"/>
      <c r="F127" s="16"/>
      <c r="G127" s="57"/>
      <c r="H127" s="57"/>
      <c r="I127" s="57"/>
      <c r="J127" s="57"/>
      <c r="K127" s="57"/>
      <c r="L127" s="57"/>
      <c r="M127" s="57"/>
      <c r="N127" s="16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</row>
    <row r="128" spans="1:28" x14ac:dyDescent="0.25">
      <c r="A128" s="235"/>
      <c r="B128" s="235"/>
      <c r="C128" s="235"/>
      <c r="D128" s="17"/>
      <c r="E128" s="15"/>
      <c r="F128" s="15"/>
      <c r="G128" s="56"/>
      <c r="H128" s="56"/>
      <c r="I128" s="56"/>
      <c r="J128" s="236" t="s">
        <v>349</v>
      </c>
      <c r="K128" s="237"/>
      <c r="L128" s="237">
        <v>2602241.52</v>
      </c>
      <c r="M128" s="237"/>
      <c r="N128" s="237"/>
    </row>
    <row r="129" spans="1:28" x14ac:dyDescent="0.25">
      <c r="A129" s="235"/>
      <c r="B129" s="235"/>
      <c r="C129" s="235"/>
      <c r="D129" s="17"/>
      <c r="E129" s="15"/>
      <c r="F129" s="15"/>
      <c r="G129" s="56"/>
      <c r="H129" s="56"/>
      <c r="I129" s="56"/>
      <c r="J129" s="236" t="s">
        <v>350</v>
      </c>
      <c r="K129" s="237"/>
      <c r="L129" s="237">
        <v>0</v>
      </c>
      <c r="M129" s="237"/>
      <c r="N129" s="237"/>
    </row>
    <row r="130" spans="1:28" x14ac:dyDescent="0.25">
      <c r="A130" s="235"/>
      <c r="B130" s="235"/>
      <c r="C130" s="235"/>
      <c r="D130" s="17"/>
      <c r="E130" s="15"/>
      <c r="F130" s="15"/>
      <c r="G130" s="56"/>
      <c r="H130" s="56"/>
      <c r="I130" s="56"/>
      <c r="J130" s="236" t="s">
        <v>351</v>
      </c>
      <c r="K130" s="237"/>
      <c r="L130" s="237">
        <v>2602241.52</v>
      </c>
      <c r="M130" s="237"/>
      <c r="N130" s="237"/>
    </row>
    <row r="131" spans="1:28" ht="60" customHeight="1" thickBot="1" x14ac:dyDescent="0.25">
      <c r="A131" s="18"/>
      <c r="B131" s="18"/>
      <c r="C131" s="18"/>
      <c r="D131" s="18"/>
      <c r="E131" s="18"/>
      <c r="F131" s="18"/>
      <c r="G131" s="58"/>
      <c r="H131" s="58"/>
      <c r="I131" s="58"/>
      <c r="J131" s="58"/>
      <c r="K131" s="58"/>
      <c r="L131" s="58"/>
      <c r="M131" s="58"/>
      <c r="N131" s="18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</row>
    <row r="132" spans="1:28" ht="69.95" customHeight="1" thickBot="1" x14ac:dyDescent="0.3">
      <c r="A132" s="241" t="s">
        <v>352</v>
      </c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75"/>
      <c r="P132" s="75"/>
      <c r="Q132" s="75"/>
      <c r="R132" s="75"/>
      <c r="S132" s="75"/>
      <c r="T132" s="75"/>
      <c r="U132" s="75"/>
      <c r="V132" s="75"/>
      <c r="W132" s="229" t="s">
        <v>403</v>
      </c>
      <c r="X132" s="230"/>
      <c r="Y132" s="230"/>
      <c r="Z132" s="230"/>
      <c r="AA132" s="231"/>
      <c r="AB132" s="76">
        <f>SUM(AB6,AB10,AB45,AB122)</f>
        <v>3249245.9699999997</v>
      </c>
    </row>
    <row r="133" spans="1:28" x14ac:dyDescent="0.25">
      <c r="W133" s="61"/>
      <c r="X133" s="61"/>
      <c r="Y133" s="61"/>
      <c r="Z133" s="61"/>
      <c r="AA133" s="61"/>
      <c r="AB133" s="61"/>
    </row>
  </sheetData>
  <mergeCells count="41">
    <mergeCell ref="T4:V4"/>
    <mergeCell ref="W4:Y4"/>
    <mergeCell ref="Z4:AB4"/>
    <mergeCell ref="Y1:AB1"/>
    <mergeCell ref="O2:Q2"/>
    <mergeCell ref="R2:U2"/>
    <mergeCell ref="V2:X2"/>
    <mergeCell ref="Y2:AB2"/>
    <mergeCell ref="V1:X1"/>
    <mergeCell ref="A130:C130"/>
    <mergeCell ref="J130:K130"/>
    <mergeCell ref="L130:N130"/>
    <mergeCell ref="A132:N132"/>
    <mergeCell ref="O1:Q1"/>
    <mergeCell ref="A3:N3"/>
    <mergeCell ref="H4:J4"/>
    <mergeCell ref="K4:M4"/>
    <mergeCell ref="E1:G1"/>
    <mergeCell ref="H1:J1"/>
    <mergeCell ref="K1:N1"/>
    <mergeCell ref="E2:G2"/>
    <mergeCell ref="H2:J2"/>
    <mergeCell ref="K2:N2"/>
    <mergeCell ref="P4:P5"/>
    <mergeCell ref="Q4:S4"/>
    <mergeCell ref="W132:AA132"/>
    <mergeCell ref="O4:O5"/>
    <mergeCell ref="N4:N5"/>
    <mergeCell ref="A128:C128"/>
    <mergeCell ref="J128:K128"/>
    <mergeCell ref="L128:N128"/>
    <mergeCell ref="A129:C129"/>
    <mergeCell ref="J129:K129"/>
    <mergeCell ref="L129:N129"/>
    <mergeCell ref="A4:A5"/>
    <mergeCell ref="B4:B5"/>
    <mergeCell ref="C4:C5"/>
    <mergeCell ref="D4:D5"/>
    <mergeCell ref="E4:E5"/>
    <mergeCell ref="F4:F5"/>
    <mergeCell ref="G4:G5"/>
  </mergeCells>
  <pageMargins left="0.5" right="0.5" top="1" bottom="1" header="0.5" footer="0.5"/>
  <pageSetup paperSize="9" fitToHeight="0" orientation="landscape"/>
  <headerFooter>
    <oddHeader>&amp;L &amp;CTRIBUNAL DE JUSTICA DO PARANÁ -TJPR
CNPJ: 77.821.841/0001-94 &amp;R</oddHeader>
    <oddFooter>&amp;L &amp;C 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C4FBA-5AD7-4849-83ED-65F9D0EF5302}">
  <sheetPr>
    <pageSetUpPr fitToPage="1"/>
  </sheetPr>
  <dimension ref="A1:AB133"/>
  <sheetViews>
    <sheetView showWhiteSpace="0" topLeftCell="H120" workbookViewId="0">
      <selection activeCell="R132" sqref="R132"/>
    </sheetView>
  </sheetViews>
  <sheetFormatPr defaultRowHeight="15" x14ac:dyDescent="0.25"/>
  <cols>
    <col min="1" max="3" width="11.42578125" style="2" bestFit="1" customWidth="1"/>
    <col min="4" max="4" width="68.5703125" style="2" bestFit="1" customWidth="1"/>
    <col min="5" max="5" width="5.7109375" style="2" bestFit="1" customWidth="1"/>
    <col min="6" max="13" width="11.42578125" style="2" bestFit="1" customWidth="1"/>
    <col min="14" max="14" width="11.42578125" style="2" hidden="1" customWidth="1"/>
    <col min="15" max="15" width="17.5703125" customWidth="1"/>
    <col min="17" max="19" width="12.140625" bestFit="1" customWidth="1"/>
    <col min="20" max="21" width="14.140625" bestFit="1" customWidth="1"/>
    <col min="22" max="22" width="19.28515625" style="61" bestFit="1" customWidth="1"/>
    <col min="23" max="25" width="12.140625" bestFit="1" customWidth="1"/>
    <col min="26" max="27" width="14.140625" bestFit="1" customWidth="1"/>
    <col min="28" max="28" width="22.85546875" bestFit="1" customWidth="1"/>
    <col min="29" max="16384" width="9.140625" style="2"/>
  </cols>
  <sheetData>
    <row r="1" spans="1:28" x14ac:dyDescent="0.2">
      <c r="A1" s="1"/>
      <c r="B1" s="1"/>
      <c r="C1" s="1"/>
      <c r="D1" s="1" t="s">
        <v>0</v>
      </c>
      <c r="E1" s="247" t="s">
        <v>1</v>
      </c>
      <c r="F1" s="247"/>
      <c r="G1" s="247"/>
      <c r="H1" s="247" t="s">
        <v>2</v>
      </c>
      <c r="I1" s="247"/>
      <c r="J1" s="247"/>
      <c r="K1" s="247" t="s">
        <v>3</v>
      </c>
      <c r="L1" s="247"/>
      <c r="M1" s="247"/>
      <c r="N1" s="247"/>
      <c r="O1" s="243" t="s">
        <v>397</v>
      </c>
      <c r="P1" s="243"/>
      <c r="Q1" s="243"/>
      <c r="R1" s="60">
        <f>0%</f>
        <v>0</v>
      </c>
      <c r="S1" s="60"/>
      <c r="T1" s="60"/>
      <c r="U1" s="60"/>
      <c r="V1" s="243"/>
      <c r="W1" s="243"/>
      <c r="X1" s="243"/>
      <c r="Y1" s="243"/>
      <c r="Z1" s="243"/>
      <c r="AA1" s="243"/>
      <c r="AB1" s="243"/>
    </row>
    <row r="2" spans="1:28" ht="80.099999999999994" customHeight="1" x14ac:dyDescent="0.2">
      <c r="A2" s="3"/>
      <c r="B2" s="3"/>
      <c r="C2" s="3"/>
      <c r="D2" s="3" t="s">
        <v>356</v>
      </c>
      <c r="E2" s="249" t="s">
        <v>5</v>
      </c>
      <c r="F2" s="249"/>
      <c r="G2" s="249"/>
      <c r="H2" s="249" t="s">
        <v>395</v>
      </c>
      <c r="I2" s="249"/>
      <c r="J2" s="249"/>
      <c r="K2" s="249" t="s">
        <v>396</v>
      </c>
      <c r="L2" s="249"/>
      <c r="M2" s="249"/>
      <c r="N2" s="249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</row>
    <row r="3" spans="1:28" x14ac:dyDescent="0.25">
      <c r="A3" s="244" t="s">
        <v>6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1:28" ht="15" customHeight="1" x14ac:dyDescent="0.2">
      <c r="A4" s="257" t="s">
        <v>7</v>
      </c>
      <c r="B4" s="255" t="s">
        <v>8</v>
      </c>
      <c r="C4" s="257" t="s">
        <v>9</v>
      </c>
      <c r="D4" s="257" t="s">
        <v>10</v>
      </c>
      <c r="E4" s="258" t="s">
        <v>11</v>
      </c>
      <c r="F4" s="255" t="s">
        <v>12</v>
      </c>
      <c r="G4" s="255" t="s">
        <v>13</v>
      </c>
      <c r="H4" s="258" t="s">
        <v>14</v>
      </c>
      <c r="I4" s="257"/>
      <c r="J4" s="257"/>
      <c r="K4" s="258" t="s">
        <v>15</v>
      </c>
      <c r="L4" s="257"/>
      <c r="M4" s="257"/>
      <c r="N4" s="255" t="s">
        <v>16</v>
      </c>
      <c r="O4" s="254" t="s">
        <v>398</v>
      </c>
      <c r="P4" s="250" t="s">
        <v>399</v>
      </c>
      <c r="Q4" s="251" t="s">
        <v>14</v>
      </c>
      <c r="R4" s="252"/>
      <c r="S4" s="252"/>
      <c r="T4" s="251" t="s">
        <v>400</v>
      </c>
      <c r="U4" s="252"/>
      <c r="V4" s="252"/>
      <c r="W4" s="251" t="s">
        <v>401</v>
      </c>
      <c r="X4" s="252"/>
      <c r="Y4" s="252"/>
      <c r="Z4" s="251" t="s">
        <v>402</v>
      </c>
      <c r="AA4" s="252"/>
      <c r="AB4" s="252"/>
    </row>
    <row r="5" spans="1:28" ht="15" customHeight="1" x14ac:dyDescent="0.2">
      <c r="A5" s="255"/>
      <c r="B5" s="255"/>
      <c r="C5" s="255"/>
      <c r="D5" s="255"/>
      <c r="E5" s="255"/>
      <c r="F5" s="255"/>
      <c r="G5" s="255"/>
      <c r="H5" s="77" t="s">
        <v>17</v>
      </c>
      <c r="I5" s="77" t="s">
        <v>18</v>
      </c>
      <c r="J5" s="77" t="s">
        <v>15</v>
      </c>
      <c r="K5" s="77" t="s">
        <v>17</v>
      </c>
      <c r="L5" s="77" t="s">
        <v>18</v>
      </c>
      <c r="M5" s="77" t="s">
        <v>15</v>
      </c>
      <c r="N5" s="255"/>
      <c r="O5" s="254"/>
      <c r="P5" s="250"/>
      <c r="Q5" s="62" t="s">
        <v>17</v>
      </c>
      <c r="R5" s="62" t="s">
        <v>18</v>
      </c>
      <c r="S5" s="62" t="s">
        <v>15</v>
      </c>
      <c r="T5" s="62" t="s">
        <v>17</v>
      </c>
      <c r="U5" s="62" t="s">
        <v>18</v>
      </c>
      <c r="V5" s="63" t="s">
        <v>15</v>
      </c>
      <c r="W5" s="62" t="s">
        <v>17</v>
      </c>
      <c r="X5" s="62" t="s">
        <v>18</v>
      </c>
      <c r="Y5" s="62" t="s">
        <v>15</v>
      </c>
      <c r="Z5" s="62" t="s">
        <v>17</v>
      </c>
      <c r="AA5" s="62" t="s">
        <v>18</v>
      </c>
      <c r="AB5" s="62" t="s">
        <v>15</v>
      </c>
    </row>
    <row r="6" spans="1:28" ht="24" customHeight="1" x14ac:dyDescent="0.2">
      <c r="A6" s="78" t="s">
        <v>19</v>
      </c>
      <c r="B6" s="78"/>
      <c r="C6" s="78"/>
      <c r="D6" s="78" t="s">
        <v>20</v>
      </c>
      <c r="E6" s="78"/>
      <c r="F6" s="79"/>
      <c r="G6" s="78"/>
      <c r="H6" s="78"/>
      <c r="I6" s="78"/>
      <c r="J6" s="78"/>
      <c r="K6" s="78"/>
      <c r="L6" s="78"/>
      <c r="M6" s="80">
        <v>56995.1</v>
      </c>
      <c r="N6" s="81">
        <f t="shared" ref="N6:N69" si="0">M6 / 2674895.66</f>
        <v>2.1307410547744505E-2</v>
      </c>
      <c r="O6" s="64"/>
      <c r="P6" s="64"/>
      <c r="Q6" s="64"/>
      <c r="R6" s="64"/>
      <c r="S6" s="64"/>
      <c r="T6" s="64"/>
      <c r="U6" s="64"/>
      <c r="V6" s="65">
        <f>SUM(V7:V9)</f>
        <v>68670.06</v>
      </c>
      <c r="W6" s="64"/>
      <c r="X6" s="64"/>
      <c r="Y6" s="64"/>
      <c r="Z6" s="64"/>
      <c r="AA6" s="64"/>
      <c r="AB6" s="65">
        <f>SUM(AB7:AB9)</f>
        <v>68670.06</v>
      </c>
    </row>
    <row r="7" spans="1:28" ht="26.1" customHeight="1" x14ac:dyDescent="0.2">
      <c r="A7" s="82" t="s">
        <v>21</v>
      </c>
      <c r="B7" s="83" t="s">
        <v>22</v>
      </c>
      <c r="C7" s="82" t="s">
        <v>23</v>
      </c>
      <c r="D7" s="82" t="s">
        <v>24</v>
      </c>
      <c r="E7" s="84" t="s">
        <v>25</v>
      </c>
      <c r="F7" s="83">
        <v>130</v>
      </c>
      <c r="G7" s="85">
        <v>145.94</v>
      </c>
      <c r="H7" s="85">
        <v>143.65</v>
      </c>
      <c r="I7" s="85">
        <v>2.29</v>
      </c>
      <c r="J7" s="85">
        <f>TRUNC(G7 * (1 + 0 / 100), 2)</f>
        <v>145.94</v>
      </c>
      <c r="K7" s="85">
        <f>TRUNC(F7 * H7, 2)</f>
        <v>18674.5</v>
      </c>
      <c r="L7" s="85">
        <f>M7 - K7</f>
        <v>297.70000000000073</v>
      </c>
      <c r="M7" s="85">
        <f>TRUNC(F7 * J7, 2)</f>
        <v>18972.2</v>
      </c>
      <c r="N7" s="86">
        <f t="shared" si="0"/>
        <v>7.0926878695522647E-3</v>
      </c>
      <c r="O7" s="66" t="s">
        <v>359</v>
      </c>
      <c r="P7" s="67">
        <f>IF(O7="BDI  PADRÃO",'BDI 2025'!$E$16,'BDI 2025'!$G$16)</f>
        <v>0.2049</v>
      </c>
      <c r="Q7" s="68">
        <f>TRUNC($H7*(1+$P7),2)</f>
        <v>173.08</v>
      </c>
      <c r="R7" s="68">
        <f>S7-Q7</f>
        <v>2.7599999999999909</v>
      </c>
      <c r="S7" s="68">
        <f>TRUNC($G7*(1+$P7),2)</f>
        <v>175.84</v>
      </c>
      <c r="T7" s="68">
        <f>TRUNC(Q7*$F7,2)</f>
        <v>22500.400000000001</v>
      </c>
      <c r="U7" s="68">
        <f>V7-T7</f>
        <v>358.79999999999927</v>
      </c>
      <c r="V7" s="68">
        <f>TRUNC(S7*$F7,2)</f>
        <v>22859.200000000001</v>
      </c>
      <c r="W7" s="68">
        <f>TRUNC($H7*(1+$P7-$R$1),2)</f>
        <v>173.08</v>
      </c>
      <c r="X7" s="68">
        <f>Y7-W7</f>
        <v>2.7599999999999909</v>
      </c>
      <c r="Y7" s="68">
        <f>TRUNC($G7*(1+$P7-$R$1),2)</f>
        <v>175.84</v>
      </c>
      <c r="Z7" s="68">
        <f>TRUNC(W7*$F7,2)</f>
        <v>22500.400000000001</v>
      </c>
      <c r="AA7" s="68">
        <f>AB7-Z7</f>
        <v>358.79999999999927</v>
      </c>
      <c r="AB7" s="68">
        <f>TRUNC(Y7*$F7,2)</f>
        <v>22859.200000000001</v>
      </c>
    </row>
    <row r="8" spans="1:28" ht="24" customHeight="1" x14ac:dyDescent="0.2">
      <c r="A8" s="82" t="s">
        <v>26</v>
      </c>
      <c r="B8" s="83" t="s">
        <v>27</v>
      </c>
      <c r="C8" s="82" t="s">
        <v>23</v>
      </c>
      <c r="D8" s="82" t="s">
        <v>28</v>
      </c>
      <c r="E8" s="84" t="s">
        <v>25</v>
      </c>
      <c r="F8" s="83">
        <v>520</v>
      </c>
      <c r="G8" s="85">
        <v>69.72</v>
      </c>
      <c r="H8" s="85">
        <v>66.849999999999994</v>
      </c>
      <c r="I8" s="85">
        <v>2.87</v>
      </c>
      <c r="J8" s="85">
        <f>TRUNC(G8 * (1 + 0 / 100), 2)</f>
        <v>69.72</v>
      </c>
      <c r="K8" s="85">
        <f>TRUNC(F8 * H8, 2)</f>
        <v>34762</v>
      </c>
      <c r="L8" s="85">
        <f>M8 - K8</f>
        <v>1492.4000000000015</v>
      </c>
      <c r="M8" s="85">
        <f>TRUNC(F8 * J8, 2)</f>
        <v>36254.400000000001</v>
      </c>
      <c r="N8" s="86">
        <f t="shared" si="0"/>
        <v>1.3553575394413701E-2</v>
      </c>
      <c r="O8" s="66" t="s">
        <v>359</v>
      </c>
      <c r="P8" s="67">
        <f>IF(O8="BDI  PADRÃO",'BDI 2025'!$E$16,'BDI 2025'!$G$16)</f>
        <v>0.2049</v>
      </c>
      <c r="Q8" s="68">
        <f>TRUNC($H8*(1+$P8),2)</f>
        <v>80.540000000000006</v>
      </c>
      <c r="R8" s="68">
        <f>S8-Q8</f>
        <v>3.4599999999999937</v>
      </c>
      <c r="S8" s="68">
        <f>TRUNC($G8*(1+$P8),2)</f>
        <v>84</v>
      </c>
      <c r="T8" s="68">
        <f>TRUNC(Q8*$F8,2)</f>
        <v>41880.800000000003</v>
      </c>
      <c r="U8" s="68">
        <f>V8-T8</f>
        <v>1799.1999999999971</v>
      </c>
      <c r="V8" s="68">
        <f>TRUNC(S8*$F8,2)</f>
        <v>43680</v>
      </c>
      <c r="W8" s="68">
        <f>TRUNC($H8*(1+$P8-$R$1),2)</f>
        <v>80.540000000000006</v>
      </c>
      <c r="X8" s="68">
        <f>Y8-W8</f>
        <v>3.4599999999999937</v>
      </c>
      <c r="Y8" s="68">
        <f>TRUNC($G8*(1+$P8-$R$1),2)</f>
        <v>84</v>
      </c>
      <c r="Z8" s="68">
        <f>TRUNC(W8*$F8,2)</f>
        <v>41880.800000000003</v>
      </c>
      <c r="AA8" s="68">
        <f>AB8-Z8</f>
        <v>1799.1999999999971</v>
      </c>
      <c r="AB8" s="68">
        <f>TRUNC(Y8*$F8,2)</f>
        <v>43680</v>
      </c>
    </row>
    <row r="9" spans="1:28" ht="39" customHeight="1" x14ac:dyDescent="0.2">
      <c r="A9" s="82" t="s">
        <v>29</v>
      </c>
      <c r="B9" s="83" t="s">
        <v>30</v>
      </c>
      <c r="C9" s="82" t="s">
        <v>23</v>
      </c>
      <c r="D9" s="82" t="s">
        <v>31</v>
      </c>
      <c r="E9" s="84" t="s">
        <v>32</v>
      </c>
      <c r="F9" s="83">
        <v>3.75</v>
      </c>
      <c r="G9" s="85">
        <v>471.6</v>
      </c>
      <c r="H9" s="85">
        <v>38.24</v>
      </c>
      <c r="I9" s="85">
        <v>433.36</v>
      </c>
      <c r="J9" s="85">
        <f>TRUNC(G9 * (1 + 0 / 100), 2)</f>
        <v>471.6</v>
      </c>
      <c r="K9" s="85">
        <f>TRUNC(F9 * H9, 2)</f>
        <v>143.4</v>
      </c>
      <c r="L9" s="85">
        <f>M9 - K9</f>
        <v>1625.1</v>
      </c>
      <c r="M9" s="85">
        <f>TRUNC(F9 * J9, 2)</f>
        <v>1768.5</v>
      </c>
      <c r="N9" s="86">
        <f t="shared" si="0"/>
        <v>6.6114728377853805E-4</v>
      </c>
      <c r="O9" s="66" t="s">
        <v>359</v>
      </c>
      <c r="P9" s="67">
        <f>IF(O9="BDI  PADRÃO",'BDI 2025'!$E$16,'BDI 2025'!$G$16)</f>
        <v>0.2049</v>
      </c>
      <c r="Q9" s="68">
        <f>TRUNC($H9*(1+$P9),2)</f>
        <v>46.07</v>
      </c>
      <c r="R9" s="68">
        <f>S9-Q9</f>
        <v>522.16</v>
      </c>
      <c r="S9" s="68">
        <f>TRUNC($G9*(1+$P9),2)</f>
        <v>568.23</v>
      </c>
      <c r="T9" s="68">
        <f>TRUNC(Q9*$F9,2)</f>
        <v>172.76</v>
      </c>
      <c r="U9" s="68">
        <f>V9-T9</f>
        <v>1958.1000000000001</v>
      </c>
      <c r="V9" s="68">
        <f>TRUNC(S9*$F9,2)</f>
        <v>2130.86</v>
      </c>
      <c r="W9" s="68">
        <f>TRUNC($H9*(1+$P9-$R$1),2)</f>
        <v>46.07</v>
      </c>
      <c r="X9" s="68">
        <f>Y9-W9</f>
        <v>522.16</v>
      </c>
      <c r="Y9" s="68">
        <f>TRUNC($G9*(1+$P9-$R$1),2)</f>
        <v>568.23</v>
      </c>
      <c r="Z9" s="68">
        <f>TRUNC(W9*$F9,2)</f>
        <v>172.76</v>
      </c>
      <c r="AA9" s="68">
        <f>AB9-Z9</f>
        <v>1958.1000000000001</v>
      </c>
      <c r="AB9" s="68">
        <f>TRUNC(Y9*$F9,2)</f>
        <v>2130.86</v>
      </c>
    </row>
    <row r="10" spans="1:28" ht="24" customHeight="1" x14ac:dyDescent="0.2">
      <c r="A10" s="78" t="s">
        <v>33</v>
      </c>
      <c r="B10" s="78"/>
      <c r="C10" s="78"/>
      <c r="D10" s="78" t="s">
        <v>34</v>
      </c>
      <c r="E10" s="78"/>
      <c r="F10" s="79"/>
      <c r="G10" s="78"/>
      <c r="H10" s="78"/>
      <c r="I10" s="78"/>
      <c r="J10" s="78"/>
      <c r="K10" s="78"/>
      <c r="L10" s="78"/>
      <c r="M10" s="80">
        <v>251604.84</v>
      </c>
      <c r="N10" s="81">
        <f t="shared" si="0"/>
        <v>9.4061553040166057E-2</v>
      </c>
      <c r="O10" s="69"/>
      <c r="P10" s="69"/>
      <c r="Q10" s="69"/>
      <c r="R10" s="69"/>
      <c r="S10" s="69"/>
      <c r="T10" s="69"/>
      <c r="U10" s="69"/>
      <c r="V10" s="70">
        <f>SUM(V11,V32)</f>
        <v>303097.69999999995</v>
      </c>
      <c r="W10" s="69"/>
      <c r="X10" s="69"/>
      <c r="Y10" s="69"/>
      <c r="Z10" s="69"/>
      <c r="AA10" s="69"/>
      <c r="AB10" s="70">
        <f>SUM(AB11,AB32)</f>
        <v>303097.69999999995</v>
      </c>
    </row>
    <row r="11" spans="1:28" ht="24" customHeight="1" x14ac:dyDescent="0.2">
      <c r="A11" s="78" t="s">
        <v>35</v>
      </c>
      <c r="B11" s="78"/>
      <c r="C11" s="78"/>
      <c r="D11" s="78" t="s">
        <v>36</v>
      </c>
      <c r="E11" s="78"/>
      <c r="F11" s="79"/>
      <c r="G11" s="78"/>
      <c r="H11" s="78"/>
      <c r="I11" s="78"/>
      <c r="J11" s="78"/>
      <c r="K11" s="78"/>
      <c r="L11" s="78"/>
      <c r="M11" s="80">
        <v>192226.44</v>
      </c>
      <c r="N11" s="81">
        <f t="shared" si="0"/>
        <v>7.1863154467864357E-2</v>
      </c>
      <c r="O11" s="69"/>
      <c r="P11" s="69"/>
      <c r="Q11" s="69"/>
      <c r="R11" s="69"/>
      <c r="S11" s="69"/>
      <c r="T11" s="69"/>
      <c r="U11" s="69"/>
      <c r="V11" s="70">
        <f>SUM(V12,V18,V23,V27)</f>
        <v>231572.8</v>
      </c>
      <c r="W11" s="69"/>
      <c r="X11" s="69"/>
      <c r="Y11" s="69"/>
      <c r="Z11" s="69"/>
      <c r="AA11" s="69"/>
      <c r="AB11" s="70">
        <f>SUM(AB12,AB18,AB23,AB27)</f>
        <v>231572.8</v>
      </c>
    </row>
    <row r="12" spans="1:28" ht="24" customHeight="1" x14ac:dyDescent="0.2">
      <c r="A12" s="78" t="s">
        <v>37</v>
      </c>
      <c r="B12" s="78"/>
      <c r="C12" s="78"/>
      <c r="D12" s="78" t="s">
        <v>38</v>
      </c>
      <c r="E12" s="78"/>
      <c r="F12" s="79"/>
      <c r="G12" s="78"/>
      <c r="H12" s="78"/>
      <c r="I12" s="78"/>
      <c r="J12" s="78"/>
      <c r="K12" s="78"/>
      <c r="L12" s="78"/>
      <c r="M12" s="80">
        <v>128362.48</v>
      </c>
      <c r="N12" s="81">
        <f t="shared" si="0"/>
        <v>4.7987845626845868E-2</v>
      </c>
      <c r="O12" s="69"/>
      <c r="P12" s="69"/>
      <c r="Q12" s="69"/>
      <c r="R12" s="69"/>
      <c r="S12" s="69"/>
      <c r="T12" s="69"/>
      <c r="U12" s="69"/>
      <c r="V12" s="70">
        <f>SUM(V13:V17)</f>
        <v>154631.03999999998</v>
      </c>
      <c r="W12" s="69"/>
      <c r="X12" s="69"/>
      <c r="Y12" s="69"/>
      <c r="Z12" s="69"/>
      <c r="AA12" s="69"/>
      <c r="AB12" s="70">
        <f>SUM(AB13:AB17)</f>
        <v>154631.03999999998</v>
      </c>
    </row>
    <row r="13" spans="1:28" ht="26.1" customHeight="1" x14ac:dyDescent="0.2">
      <c r="A13" s="82" t="s">
        <v>39</v>
      </c>
      <c r="B13" s="83" t="s">
        <v>40</v>
      </c>
      <c r="C13" s="82" t="s">
        <v>23</v>
      </c>
      <c r="D13" s="82" t="s">
        <v>41</v>
      </c>
      <c r="E13" s="84" t="s">
        <v>32</v>
      </c>
      <c r="F13" s="83">
        <v>3825.51</v>
      </c>
      <c r="G13" s="85">
        <v>30.67</v>
      </c>
      <c r="H13" s="85">
        <v>21.41</v>
      </c>
      <c r="I13" s="85">
        <v>9.26</v>
      </c>
      <c r="J13" s="85">
        <f>TRUNC(G13 * (1 + 0 / 100), 2)</f>
        <v>30.67</v>
      </c>
      <c r="K13" s="85">
        <f>TRUNC(F13 * H13, 2)</f>
        <v>81904.160000000003</v>
      </c>
      <c r="L13" s="85">
        <f>M13 - K13</f>
        <v>35424.229999999996</v>
      </c>
      <c r="M13" s="85">
        <f>TRUNC(F13 * J13, 2)</f>
        <v>117328.39</v>
      </c>
      <c r="N13" s="86">
        <f t="shared" si="0"/>
        <v>4.3862791268650829E-2</v>
      </c>
      <c r="O13" s="66" t="s">
        <v>359</v>
      </c>
      <c r="P13" s="67">
        <f>IF(O13="BDI  PADRÃO",'BDI 2025'!$E$16,'BDI 2025'!$G$16)</f>
        <v>0.2049</v>
      </c>
      <c r="Q13" s="68">
        <f>TRUNC($H13*(1+$P13),2)</f>
        <v>25.79</v>
      </c>
      <c r="R13" s="68">
        <f>S13-Q13</f>
        <v>11.160000000000004</v>
      </c>
      <c r="S13" s="68">
        <f>TRUNC($G13*(1+$P13),2)</f>
        <v>36.950000000000003</v>
      </c>
      <c r="T13" s="68">
        <f>TRUNC(Q13*$F13,2)</f>
        <v>98659.9</v>
      </c>
      <c r="U13" s="68">
        <f>V13-T13</f>
        <v>42692.69</v>
      </c>
      <c r="V13" s="68">
        <f>TRUNC(S13*$F13,2)</f>
        <v>141352.59</v>
      </c>
      <c r="W13" s="68">
        <f>TRUNC($H13*(1+$P13-$R$1),2)</f>
        <v>25.79</v>
      </c>
      <c r="X13" s="68">
        <f>Y13-W13</f>
        <v>11.160000000000004</v>
      </c>
      <c r="Y13" s="68">
        <f>TRUNC($G13*(1+$P13-$R$1),2)</f>
        <v>36.950000000000003</v>
      </c>
      <c r="Z13" s="68">
        <f>TRUNC(W13*$F13,2)</f>
        <v>98659.9</v>
      </c>
      <c r="AA13" s="68">
        <f>AB13-Z13</f>
        <v>42692.69</v>
      </c>
      <c r="AB13" s="68">
        <f>TRUNC(Y13*$F13,2)</f>
        <v>141352.59</v>
      </c>
    </row>
    <row r="14" spans="1:28" ht="26.1" customHeight="1" x14ac:dyDescent="0.2">
      <c r="A14" s="82" t="s">
        <v>42</v>
      </c>
      <c r="B14" s="83" t="s">
        <v>43</v>
      </c>
      <c r="C14" s="82" t="s">
        <v>23</v>
      </c>
      <c r="D14" s="82" t="s">
        <v>44</v>
      </c>
      <c r="E14" s="84" t="s">
        <v>45</v>
      </c>
      <c r="F14" s="83">
        <v>2216.62</v>
      </c>
      <c r="G14" s="85">
        <v>3.5</v>
      </c>
      <c r="H14" s="85">
        <v>2.4500000000000002</v>
      </c>
      <c r="I14" s="85">
        <v>1.05</v>
      </c>
      <c r="J14" s="85">
        <f>TRUNC(G14 * (1 + 0 / 100), 2)</f>
        <v>3.5</v>
      </c>
      <c r="K14" s="85">
        <f>TRUNC(F14 * H14, 2)</f>
        <v>5430.71</v>
      </c>
      <c r="L14" s="85">
        <f>M14 - K14</f>
        <v>2327.46</v>
      </c>
      <c r="M14" s="85">
        <f>TRUNC(F14 * J14, 2)</f>
        <v>7758.17</v>
      </c>
      <c r="N14" s="86">
        <f t="shared" si="0"/>
        <v>2.9003635977337522E-3</v>
      </c>
      <c r="O14" s="66" t="s">
        <v>359</v>
      </c>
      <c r="P14" s="67">
        <f>IF(O14="BDI  PADRÃO",'BDI 2025'!$E$16,'BDI 2025'!$G$16)</f>
        <v>0.2049</v>
      </c>
      <c r="Q14" s="68">
        <f>TRUNC($H14*(1+$P14),2)</f>
        <v>2.95</v>
      </c>
      <c r="R14" s="68">
        <f>S14-Q14</f>
        <v>1.2599999999999998</v>
      </c>
      <c r="S14" s="68">
        <f>TRUNC($G14*(1+$P14),2)</f>
        <v>4.21</v>
      </c>
      <c r="T14" s="68">
        <f>TRUNC(Q14*$F14,2)</f>
        <v>6539.02</v>
      </c>
      <c r="U14" s="68">
        <f>V14-T14</f>
        <v>2792.9499999999989</v>
      </c>
      <c r="V14" s="68">
        <f>TRUNC(S14*$F14,2)</f>
        <v>9331.9699999999993</v>
      </c>
      <c r="W14" s="68">
        <f>TRUNC($H14*(1+$P14-$R$1),2)</f>
        <v>2.95</v>
      </c>
      <c r="X14" s="68">
        <f>Y14-W14</f>
        <v>1.2599999999999998</v>
      </c>
      <c r="Y14" s="68">
        <f>TRUNC($G14*(1+$P14-$R$1),2)</f>
        <v>4.21</v>
      </c>
      <c r="Z14" s="68">
        <f>TRUNC(W14*$F14,2)</f>
        <v>6539.02</v>
      </c>
      <c r="AA14" s="68">
        <f>AB14-Z14</f>
        <v>2792.9499999999989</v>
      </c>
      <c r="AB14" s="68">
        <f>TRUNC(Y14*$F14,2)</f>
        <v>9331.9699999999993</v>
      </c>
    </row>
    <row r="15" spans="1:28" ht="24" customHeight="1" x14ac:dyDescent="0.2">
      <c r="A15" s="82" t="s">
        <v>46</v>
      </c>
      <c r="B15" s="83" t="s">
        <v>47</v>
      </c>
      <c r="C15" s="82" t="s">
        <v>48</v>
      </c>
      <c r="D15" s="82" t="s">
        <v>49</v>
      </c>
      <c r="E15" s="84" t="s">
        <v>32</v>
      </c>
      <c r="F15" s="83">
        <v>41.6</v>
      </c>
      <c r="G15" s="85">
        <v>29.1</v>
      </c>
      <c r="H15" s="85">
        <v>20.07</v>
      </c>
      <c r="I15" s="85">
        <v>9.0299999999999994</v>
      </c>
      <c r="J15" s="85">
        <f>TRUNC(G15 * (1 + 0 / 100), 2)</f>
        <v>29.1</v>
      </c>
      <c r="K15" s="85">
        <f>TRUNC(F15 * H15, 2)</f>
        <v>834.91</v>
      </c>
      <c r="L15" s="85">
        <f>M15 - K15</f>
        <v>375.65</v>
      </c>
      <c r="M15" s="85">
        <f>TRUNC(F15 * J15, 2)</f>
        <v>1210.56</v>
      </c>
      <c r="N15" s="86">
        <f t="shared" si="0"/>
        <v>4.5256344690469154E-4</v>
      </c>
      <c r="O15" s="66" t="s">
        <v>359</v>
      </c>
      <c r="P15" s="67">
        <f>IF(O15="BDI  PADRÃO",'BDI 2025'!$E$16,'BDI 2025'!$G$16)</f>
        <v>0.2049</v>
      </c>
      <c r="Q15" s="68">
        <f>TRUNC($H15*(1+$P15),2)</f>
        <v>24.18</v>
      </c>
      <c r="R15" s="68">
        <f>S15-Q15</f>
        <v>10.880000000000003</v>
      </c>
      <c r="S15" s="68">
        <f>TRUNC($G15*(1+$P15),2)</f>
        <v>35.06</v>
      </c>
      <c r="T15" s="68">
        <f>TRUNC(Q15*$F15,2)</f>
        <v>1005.88</v>
      </c>
      <c r="U15" s="68">
        <f>V15-T15</f>
        <v>452.61</v>
      </c>
      <c r="V15" s="68">
        <f>TRUNC(S15*$F15,2)</f>
        <v>1458.49</v>
      </c>
      <c r="W15" s="68">
        <f>TRUNC($H15*(1+$P15-$R$1),2)</f>
        <v>24.18</v>
      </c>
      <c r="X15" s="68">
        <f>Y15-W15</f>
        <v>10.880000000000003</v>
      </c>
      <c r="Y15" s="68">
        <f>TRUNC($G15*(1+$P15-$R$1),2)</f>
        <v>35.06</v>
      </c>
      <c r="Z15" s="68">
        <f>TRUNC(W15*$F15,2)</f>
        <v>1005.88</v>
      </c>
      <c r="AA15" s="68">
        <f>AB15-Z15</f>
        <v>452.61</v>
      </c>
      <c r="AB15" s="68">
        <f>TRUNC(Y15*$F15,2)</f>
        <v>1458.49</v>
      </c>
    </row>
    <row r="16" spans="1:28" ht="24" customHeight="1" x14ac:dyDescent="0.2">
      <c r="A16" s="82" t="s">
        <v>50</v>
      </c>
      <c r="B16" s="83" t="s">
        <v>51</v>
      </c>
      <c r="C16" s="82" t="s">
        <v>48</v>
      </c>
      <c r="D16" s="82" t="s">
        <v>52</v>
      </c>
      <c r="E16" s="84" t="s">
        <v>45</v>
      </c>
      <c r="F16" s="83">
        <v>24.6</v>
      </c>
      <c r="G16" s="85">
        <v>24.38</v>
      </c>
      <c r="H16" s="85">
        <v>17.079999999999998</v>
      </c>
      <c r="I16" s="85">
        <v>7.3</v>
      </c>
      <c r="J16" s="85">
        <f>TRUNC(G16 * (1 + 0 / 100), 2)</f>
        <v>24.38</v>
      </c>
      <c r="K16" s="85">
        <f>TRUNC(F16 * H16, 2)</f>
        <v>420.16</v>
      </c>
      <c r="L16" s="85">
        <f>M16 - K16</f>
        <v>179.57999999999998</v>
      </c>
      <c r="M16" s="85">
        <f>TRUNC(F16 * J16, 2)</f>
        <v>599.74</v>
      </c>
      <c r="N16" s="86">
        <f t="shared" si="0"/>
        <v>2.2421061463010486E-4</v>
      </c>
      <c r="O16" s="66" t="s">
        <v>359</v>
      </c>
      <c r="P16" s="67">
        <f>IF(O16="BDI  PADRÃO",'BDI 2025'!$E$16,'BDI 2025'!$G$16)</f>
        <v>0.2049</v>
      </c>
      <c r="Q16" s="68">
        <f>TRUNC($H16*(1+$P16),2)</f>
        <v>20.57</v>
      </c>
      <c r="R16" s="68">
        <f>S16-Q16</f>
        <v>8.8000000000000007</v>
      </c>
      <c r="S16" s="68">
        <f>TRUNC($G16*(1+$P16),2)</f>
        <v>29.37</v>
      </c>
      <c r="T16" s="68">
        <f>TRUNC(Q16*$F16,2)</f>
        <v>506.02</v>
      </c>
      <c r="U16" s="68">
        <f>V16-T16</f>
        <v>216.48000000000002</v>
      </c>
      <c r="V16" s="68">
        <f>TRUNC(S16*$F16,2)</f>
        <v>722.5</v>
      </c>
      <c r="W16" s="68">
        <f>TRUNC($H16*(1+$P16-$R$1),2)</f>
        <v>20.57</v>
      </c>
      <c r="X16" s="68">
        <f>Y16-W16</f>
        <v>8.8000000000000007</v>
      </c>
      <c r="Y16" s="68">
        <f>TRUNC($G16*(1+$P16-$R$1),2)</f>
        <v>29.37</v>
      </c>
      <c r="Z16" s="68">
        <f>TRUNC(W16*$F16,2)</f>
        <v>506.02</v>
      </c>
      <c r="AA16" s="68">
        <f>AB16-Z16</f>
        <v>216.48000000000002</v>
      </c>
      <c r="AB16" s="68">
        <f>TRUNC(Y16*$F16,2)</f>
        <v>722.5</v>
      </c>
    </row>
    <row r="17" spans="1:28" ht="26.1" customHeight="1" x14ac:dyDescent="0.2">
      <c r="A17" s="82" t="s">
        <v>53</v>
      </c>
      <c r="B17" s="83" t="s">
        <v>54</v>
      </c>
      <c r="C17" s="82" t="s">
        <v>23</v>
      </c>
      <c r="D17" s="82" t="s">
        <v>55</v>
      </c>
      <c r="E17" s="84" t="s">
        <v>32</v>
      </c>
      <c r="F17" s="83">
        <v>374.84</v>
      </c>
      <c r="G17" s="85">
        <v>3.91</v>
      </c>
      <c r="H17" s="85">
        <v>2.72</v>
      </c>
      <c r="I17" s="85">
        <v>1.19</v>
      </c>
      <c r="J17" s="85">
        <f>TRUNC(G17 * (1 + 0 / 100), 2)</f>
        <v>3.91</v>
      </c>
      <c r="K17" s="85">
        <f>TRUNC(F17 * H17, 2)</f>
        <v>1019.56</v>
      </c>
      <c r="L17" s="85">
        <f>M17 - K17</f>
        <v>446.05999999999995</v>
      </c>
      <c r="M17" s="85">
        <f>TRUNC(F17 * J17, 2)</f>
        <v>1465.62</v>
      </c>
      <c r="N17" s="86">
        <f t="shared" si="0"/>
        <v>5.4791669892649184E-4</v>
      </c>
      <c r="O17" s="66" t="s">
        <v>359</v>
      </c>
      <c r="P17" s="67">
        <f>IF(O17="BDI  PADRÃO",'BDI 2025'!$E$16,'BDI 2025'!$G$16)</f>
        <v>0.2049</v>
      </c>
      <c r="Q17" s="68">
        <f>TRUNC($H17*(1+$P17),2)</f>
        <v>3.27</v>
      </c>
      <c r="R17" s="68">
        <f>S17-Q17</f>
        <v>1.44</v>
      </c>
      <c r="S17" s="68">
        <f>TRUNC($G17*(1+$P17),2)</f>
        <v>4.71</v>
      </c>
      <c r="T17" s="68">
        <f>TRUNC(Q17*$F17,2)</f>
        <v>1225.72</v>
      </c>
      <c r="U17" s="68">
        <f>V17-T17</f>
        <v>539.77</v>
      </c>
      <c r="V17" s="68">
        <f>TRUNC(S17*$F17,2)</f>
        <v>1765.49</v>
      </c>
      <c r="W17" s="68">
        <f>TRUNC($H17*(1+$P17-$R$1),2)</f>
        <v>3.27</v>
      </c>
      <c r="X17" s="68">
        <f>Y17-W17</f>
        <v>1.44</v>
      </c>
      <c r="Y17" s="68">
        <f>TRUNC($G17*(1+$P17-$R$1),2)</f>
        <v>4.71</v>
      </c>
      <c r="Z17" s="68">
        <f>TRUNC(W17*$F17,2)</f>
        <v>1225.72</v>
      </c>
      <c r="AA17" s="68">
        <f>AB17-Z17</f>
        <v>539.77</v>
      </c>
      <c r="AB17" s="68">
        <f>TRUNC(Y17*$F17,2)</f>
        <v>1765.49</v>
      </c>
    </row>
    <row r="18" spans="1:28" ht="24" customHeight="1" x14ac:dyDescent="0.2">
      <c r="A18" s="78" t="s">
        <v>56</v>
      </c>
      <c r="B18" s="78"/>
      <c r="C18" s="78"/>
      <c r="D18" s="78" t="s">
        <v>57</v>
      </c>
      <c r="E18" s="78"/>
      <c r="F18" s="79"/>
      <c r="G18" s="78"/>
      <c r="H18" s="78"/>
      <c r="I18" s="78"/>
      <c r="J18" s="78"/>
      <c r="K18" s="78"/>
      <c r="L18" s="78"/>
      <c r="M18" s="80">
        <v>45877.22</v>
      </c>
      <c r="N18" s="81">
        <f t="shared" si="0"/>
        <v>1.7151031603228964E-2</v>
      </c>
      <c r="O18" s="69"/>
      <c r="P18" s="69"/>
      <c r="Q18" s="69"/>
      <c r="R18" s="69"/>
      <c r="S18" s="69"/>
      <c r="T18" s="69"/>
      <c r="U18" s="69"/>
      <c r="V18" s="70">
        <f>SUM(V19:V22)</f>
        <v>55270.899999999994</v>
      </c>
      <c r="W18" s="69"/>
      <c r="X18" s="69"/>
      <c r="Y18" s="69"/>
      <c r="Z18" s="69"/>
      <c r="AA18" s="69"/>
      <c r="AB18" s="70">
        <f>SUM(AB19:AB22)</f>
        <v>55270.899999999994</v>
      </c>
    </row>
    <row r="19" spans="1:28" ht="24" customHeight="1" x14ac:dyDescent="0.2">
      <c r="A19" s="82" t="s">
        <v>58</v>
      </c>
      <c r="B19" s="83" t="s">
        <v>59</v>
      </c>
      <c r="C19" s="82" t="s">
        <v>60</v>
      </c>
      <c r="D19" s="82" t="s">
        <v>61</v>
      </c>
      <c r="E19" s="84" t="s">
        <v>32</v>
      </c>
      <c r="F19" s="83">
        <v>759.33</v>
      </c>
      <c r="G19" s="85">
        <v>43.71</v>
      </c>
      <c r="H19" s="85">
        <v>32.840000000000003</v>
      </c>
      <c r="I19" s="85">
        <v>10.87</v>
      </c>
      <c r="J19" s="85">
        <f>TRUNC(G19 * (1 + 0 / 100), 2)</f>
        <v>43.71</v>
      </c>
      <c r="K19" s="85">
        <f>TRUNC(F19 * H19, 2)</f>
        <v>24936.39</v>
      </c>
      <c r="L19" s="85">
        <f>M19 - K19</f>
        <v>8253.9199999999983</v>
      </c>
      <c r="M19" s="85">
        <f>TRUNC(F19 * J19, 2)</f>
        <v>33190.31</v>
      </c>
      <c r="N19" s="86">
        <f t="shared" si="0"/>
        <v>1.2408076507926292E-2</v>
      </c>
      <c r="O19" s="66" t="s">
        <v>359</v>
      </c>
      <c r="P19" s="67">
        <f>IF(O19="BDI  PADRÃO",'BDI 2025'!$E$16,'BDI 2025'!$G$16)</f>
        <v>0.2049</v>
      </c>
      <c r="Q19" s="68">
        <f t="shared" ref="Q19:Q22" si="1">TRUNC($H19*(1+$P19),2)</f>
        <v>39.56</v>
      </c>
      <c r="R19" s="68">
        <f t="shared" ref="R19:R22" si="2">S19-Q19</f>
        <v>13.099999999999994</v>
      </c>
      <c r="S19" s="68">
        <f t="shared" ref="S19:S22" si="3">TRUNC($G19*(1+$P19),2)</f>
        <v>52.66</v>
      </c>
      <c r="T19" s="68">
        <f t="shared" ref="T19:T22" si="4">TRUNC(Q19*$F19,2)</f>
        <v>30039.09</v>
      </c>
      <c r="U19" s="68">
        <f t="shared" ref="U19:U22" si="5">V19-T19</f>
        <v>9947.2199999999975</v>
      </c>
      <c r="V19" s="68">
        <f t="shared" ref="V19:V22" si="6">TRUNC(S19*$F19,2)</f>
        <v>39986.31</v>
      </c>
      <c r="W19" s="68">
        <f t="shared" ref="W19:W22" si="7">TRUNC($H19*(1+$P19-$R$1),2)</f>
        <v>39.56</v>
      </c>
      <c r="X19" s="68">
        <f t="shared" ref="X19:X22" si="8">Y19-W19</f>
        <v>13.099999999999994</v>
      </c>
      <c r="Y19" s="68">
        <f t="shared" ref="Y19:Y22" si="9">TRUNC($G19*(1+$P19-$R$1),2)</f>
        <v>52.66</v>
      </c>
      <c r="Z19" s="68">
        <f t="shared" ref="Z19:Z22" si="10">TRUNC(W19*$F19,2)</f>
        <v>30039.09</v>
      </c>
      <c r="AA19" s="68">
        <f t="shared" ref="AA19:AA22" si="11">AB19-Z19</f>
        <v>9947.2199999999975</v>
      </c>
      <c r="AB19" s="68">
        <f t="shared" ref="AB19:AB22" si="12">TRUNC(Y19*$F19,2)</f>
        <v>39986.31</v>
      </c>
    </row>
    <row r="20" spans="1:28" ht="24" customHeight="1" x14ac:dyDescent="0.2">
      <c r="A20" s="82" t="s">
        <v>62</v>
      </c>
      <c r="B20" s="83" t="s">
        <v>63</v>
      </c>
      <c r="C20" s="82" t="s">
        <v>48</v>
      </c>
      <c r="D20" s="82" t="s">
        <v>64</v>
      </c>
      <c r="E20" s="84" t="s">
        <v>65</v>
      </c>
      <c r="F20" s="83">
        <v>32</v>
      </c>
      <c r="G20" s="85">
        <v>130.63</v>
      </c>
      <c r="H20" s="85">
        <v>92.59</v>
      </c>
      <c r="I20" s="85">
        <v>38.04</v>
      </c>
      <c r="J20" s="85">
        <f>TRUNC(G20 * (1 + 0 / 100), 2)</f>
        <v>130.63</v>
      </c>
      <c r="K20" s="85">
        <f>TRUNC(F20 * H20, 2)</f>
        <v>2962.88</v>
      </c>
      <c r="L20" s="85">
        <f>M20 - K20</f>
        <v>1217.2799999999997</v>
      </c>
      <c r="M20" s="85">
        <f>TRUNC(F20 * J20, 2)</f>
        <v>4180.16</v>
      </c>
      <c r="N20" s="86">
        <f t="shared" si="0"/>
        <v>1.5627375910430839E-3</v>
      </c>
      <c r="O20" s="66" t="s">
        <v>359</v>
      </c>
      <c r="P20" s="67">
        <f>IF(O20="BDI  PADRÃO",'BDI 2025'!$E$16,'BDI 2025'!$G$16)</f>
        <v>0.2049</v>
      </c>
      <c r="Q20" s="68">
        <f t="shared" si="1"/>
        <v>111.56</v>
      </c>
      <c r="R20" s="68">
        <f t="shared" si="2"/>
        <v>45.829999999999984</v>
      </c>
      <c r="S20" s="68">
        <f t="shared" si="3"/>
        <v>157.38999999999999</v>
      </c>
      <c r="T20" s="68">
        <f t="shared" si="4"/>
        <v>3569.92</v>
      </c>
      <c r="U20" s="68">
        <f t="shared" si="5"/>
        <v>1466.5599999999995</v>
      </c>
      <c r="V20" s="68">
        <f t="shared" si="6"/>
        <v>5036.4799999999996</v>
      </c>
      <c r="W20" s="68">
        <f t="shared" si="7"/>
        <v>111.56</v>
      </c>
      <c r="X20" s="68">
        <f t="shared" si="8"/>
        <v>45.829999999999984</v>
      </c>
      <c r="Y20" s="68">
        <f t="shared" si="9"/>
        <v>157.38999999999999</v>
      </c>
      <c r="Z20" s="68">
        <f t="shared" si="10"/>
        <v>3569.92</v>
      </c>
      <c r="AA20" s="68">
        <f t="shared" si="11"/>
        <v>1466.5599999999995</v>
      </c>
      <c r="AB20" s="68">
        <f t="shared" si="12"/>
        <v>5036.4799999999996</v>
      </c>
    </row>
    <row r="21" spans="1:28" ht="24" customHeight="1" x14ac:dyDescent="0.2">
      <c r="A21" s="82" t="s">
        <v>66</v>
      </c>
      <c r="B21" s="83" t="s">
        <v>67</v>
      </c>
      <c r="C21" s="82" t="s">
        <v>68</v>
      </c>
      <c r="D21" s="82" t="s">
        <v>69</v>
      </c>
      <c r="E21" s="84" t="s">
        <v>45</v>
      </c>
      <c r="F21" s="83">
        <v>18.600000000000001</v>
      </c>
      <c r="G21" s="85">
        <v>27.26</v>
      </c>
      <c r="H21" s="85">
        <v>19.809999999999999</v>
      </c>
      <c r="I21" s="85">
        <v>7.45</v>
      </c>
      <c r="J21" s="85">
        <f>TRUNC(G21 * (1 + 0 / 100), 2)</f>
        <v>27.26</v>
      </c>
      <c r="K21" s="85">
        <f>TRUNC(F21 * H21, 2)</f>
        <v>368.46</v>
      </c>
      <c r="L21" s="85">
        <f>M21 - K21</f>
        <v>138.57</v>
      </c>
      <c r="M21" s="85">
        <f>TRUNC(F21 * J21, 2)</f>
        <v>507.03</v>
      </c>
      <c r="N21" s="86">
        <f t="shared" si="0"/>
        <v>1.8955131879798255E-4</v>
      </c>
      <c r="O21" s="66" t="s">
        <v>359</v>
      </c>
      <c r="P21" s="67">
        <f>IF(O21="BDI  PADRÃO",'BDI 2025'!$E$16,'BDI 2025'!$G$16)</f>
        <v>0.2049</v>
      </c>
      <c r="Q21" s="68">
        <f t="shared" si="1"/>
        <v>23.86</v>
      </c>
      <c r="R21" s="68">
        <f t="shared" si="2"/>
        <v>8.980000000000004</v>
      </c>
      <c r="S21" s="68">
        <f t="shared" si="3"/>
        <v>32.840000000000003</v>
      </c>
      <c r="T21" s="68">
        <f t="shared" si="4"/>
        <v>443.79</v>
      </c>
      <c r="U21" s="68">
        <f t="shared" si="5"/>
        <v>167.03000000000003</v>
      </c>
      <c r="V21" s="68">
        <f t="shared" si="6"/>
        <v>610.82000000000005</v>
      </c>
      <c r="W21" s="68">
        <f t="shared" si="7"/>
        <v>23.86</v>
      </c>
      <c r="X21" s="68">
        <f t="shared" si="8"/>
        <v>8.980000000000004</v>
      </c>
      <c r="Y21" s="68">
        <f t="shared" si="9"/>
        <v>32.840000000000003</v>
      </c>
      <c r="Z21" s="68">
        <f t="shared" si="10"/>
        <v>443.79</v>
      </c>
      <c r="AA21" s="68">
        <f t="shared" si="11"/>
        <v>167.03000000000003</v>
      </c>
      <c r="AB21" s="68">
        <f t="shared" si="12"/>
        <v>610.82000000000005</v>
      </c>
    </row>
    <row r="22" spans="1:28" ht="26.1" customHeight="1" x14ac:dyDescent="0.2">
      <c r="A22" s="82" t="s">
        <v>70</v>
      </c>
      <c r="B22" s="83" t="s">
        <v>71</v>
      </c>
      <c r="C22" s="82" t="s">
        <v>60</v>
      </c>
      <c r="D22" s="82" t="s">
        <v>72</v>
      </c>
      <c r="E22" s="84" t="s">
        <v>32</v>
      </c>
      <c r="F22" s="83">
        <v>696.84</v>
      </c>
      <c r="G22" s="85">
        <v>11.48</v>
      </c>
      <c r="H22" s="85">
        <v>7.8</v>
      </c>
      <c r="I22" s="85">
        <v>3.68</v>
      </c>
      <c r="J22" s="85">
        <f>TRUNC(G22 * (1 + 0 / 100), 2)</f>
        <v>11.48</v>
      </c>
      <c r="K22" s="85">
        <f>TRUNC(F22 * H22, 2)</f>
        <v>5435.35</v>
      </c>
      <c r="L22" s="85">
        <f>M22 - K22</f>
        <v>2564.37</v>
      </c>
      <c r="M22" s="85">
        <f>TRUNC(F22 * J22, 2)</f>
        <v>7999.72</v>
      </c>
      <c r="N22" s="86">
        <f t="shared" si="0"/>
        <v>2.9906661854616039E-3</v>
      </c>
      <c r="O22" s="66" t="s">
        <v>359</v>
      </c>
      <c r="P22" s="67">
        <f>IF(O22="BDI  PADRÃO",'BDI 2025'!$E$16,'BDI 2025'!$G$16)</f>
        <v>0.2049</v>
      </c>
      <c r="Q22" s="68">
        <f t="shared" si="1"/>
        <v>9.39</v>
      </c>
      <c r="R22" s="68">
        <f t="shared" si="2"/>
        <v>4.4399999999999995</v>
      </c>
      <c r="S22" s="68">
        <f t="shared" si="3"/>
        <v>13.83</v>
      </c>
      <c r="T22" s="68">
        <f t="shared" si="4"/>
        <v>6543.32</v>
      </c>
      <c r="U22" s="68">
        <f t="shared" si="5"/>
        <v>3093.9700000000012</v>
      </c>
      <c r="V22" s="68">
        <f t="shared" si="6"/>
        <v>9637.2900000000009</v>
      </c>
      <c r="W22" s="68">
        <f t="shared" si="7"/>
        <v>9.39</v>
      </c>
      <c r="X22" s="68">
        <f t="shared" si="8"/>
        <v>4.4399999999999995</v>
      </c>
      <c r="Y22" s="68">
        <f t="shared" si="9"/>
        <v>13.83</v>
      </c>
      <c r="Z22" s="68">
        <f t="shared" si="10"/>
        <v>6543.32</v>
      </c>
      <c r="AA22" s="68">
        <f t="shared" si="11"/>
        <v>3093.9700000000012</v>
      </c>
      <c r="AB22" s="68">
        <f t="shared" si="12"/>
        <v>9637.2900000000009</v>
      </c>
    </row>
    <row r="23" spans="1:28" ht="24" customHeight="1" x14ac:dyDescent="0.2">
      <c r="A23" s="78" t="s">
        <v>73</v>
      </c>
      <c r="B23" s="78"/>
      <c r="C23" s="78"/>
      <c r="D23" s="78" t="s">
        <v>74</v>
      </c>
      <c r="E23" s="78"/>
      <c r="F23" s="79"/>
      <c r="G23" s="78"/>
      <c r="H23" s="78"/>
      <c r="I23" s="78"/>
      <c r="J23" s="78"/>
      <c r="K23" s="78"/>
      <c r="L23" s="78"/>
      <c r="M23" s="80">
        <v>17386.509999999998</v>
      </c>
      <c r="N23" s="81">
        <f t="shared" si="0"/>
        <v>6.4998834384440993E-3</v>
      </c>
      <c r="O23" s="69"/>
      <c r="P23" s="69"/>
      <c r="Q23" s="69"/>
      <c r="R23" s="69"/>
      <c r="S23" s="69"/>
      <c r="T23" s="69"/>
      <c r="U23" s="69"/>
      <c r="V23" s="70">
        <f>SUM(V24:V26)</f>
        <v>20947.72</v>
      </c>
      <c r="W23" s="69"/>
      <c r="X23" s="69"/>
      <c r="Y23" s="69"/>
      <c r="Z23" s="69"/>
      <c r="AA23" s="69"/>
      <c r="AB23" s="70">
        <f>SUM(AB24:AB26)</f>
        <v>20947.72</v>
      </c>
    </row>
    <row r="24" spans="1:28" ht="24" customHeight="1" x14ac:dyDescent="0.2">
      <c r="A24" s="82" t="s">
        <v>75</v>
      </c>
      <c r="B24" s="83" t="s">
        <v>76</v>
      </c>
      <c r="C24" s="82" t="s">
        <v>48</v>
      </c>
      <c r="D24" s="82" t="s">
        <v>77</v>
      </c>
      <c r="E24" s="84" t="s">
        <v>32</v>
      </c>
      <c r="F24" s="83">
        <v>152.86000000000001</v>
      </c>
      <c r="G24" s="85">
        <v>65.849999999999994</v>
      </c>
      <c r="H24" s="85">
        <v>45.78</v>
      </c>
      <c r="I24" s="85">
        <v>20.07</v>
      </c>
      <c r="J24" s="85">
        <f>TRUNC(G24 * (1 + 0 / 100), 2)</f>
        <v>65.849999999999994</v>
      </c>
      <c r="K24" s="85">
        <f>TRUNC(F24 * H24, 2)</f>
        <v>6997.93</v>
      </c>
      <c r="L24" s="85">
        <f>M24 - K24</f>
        <v>3067.8999999999996</v>
      </c>
      <c r="M24" s="85">
        <f>TRUNC(F24 * J24, 2)</f>
        <v>10065.83</v>
      </c>
      <c r="N24" s="86">
        <f t="shared" si="0"/>
        <v>3.7630738837865548E-3</v>
      </c>
      <c r="O24" s="71" t="s">
        <v>359</v>
      </c>
      <c r="P24" s="67">
        <f>IF(O24="BDI  PADRÃO",'BDI 2025'!$E$16,'BDI 2025'!$G$16)</f>
        <v>0.2049</v>
      </c>
      <c r="Q24" s="68">
        <f t="shared" ref="Q24:Q26" si="13">TRUNC($H24*(1+$P24),2)</f>
        <v>55.16</v>
      </c>
      <c r="R24" s="68">
        <f t="shared" ref="R24:R26" si="14">S24-Q24</f>
        <v>24.180000000000007</v>
      </c>
      <c r="S24" s="68">
        <f t="shared" ref="S24:S26" si="15">TRUNC($G24*(1+$P24),2)</f>
        <v>79.34</v>
      </c>
      <c r="T24" s="68">
        <f t="shared" ref="T24:T26" si="16">TRUNC(Q24*$F24,2)</f>
        <v>8431.75</v>
      </c>
      <c r="U24" s="68">
        <f t="shared" ref="U24:U26" si="17">V24-T24</f>
        <v>3696.16</v>
      </c>
      <c r="V24" s="68">
        <f t="shared" ref="V24:V26" si="18">TRUNC(S24*$F24,2)</f>
        <v>12127.91</v>
      </c>
      <c r="W24" s="68">
        <f t="shared" ref="W24:W26" si="19">TRUNC($H24*(1+$P24-$R$1),2)</f>
        <v>55.16</v>
      </c>
      <c r="X24" s="68">
        <f t="shared" ref="X24:X26" si="20">Y24-W24</f>
        <v>24.180000000000007</v>
      </c>
      <c r="Y24" s="68">
        <f t="shared" ref="Y24:Y26" si="21">TRUNC($G24*(1+$P24-$R$1),2)</f>
        <v>79.34</v>
      </c>
      <c r="Z24" s="68">
        <f t="shared" ref="Z24:Z26" si="22">TRUNC(W24*$F24,2)</f>
        <v>8431.75</v>
      </c>
      <c r="AA24" s="68">
        <f t="shared" ref="AA24:AA26" si="23">AB24-Z24</f>
        <v>3696.16</v>
      </c>
      <c r="AB24" s="68">
        <f t="shared" ref="AB24:AB26" si="24">TRUNC(Y24*$F24,2)</f>
        <v>12127.91</v>
      </c>
    </row>
    <row r="25" spans="1:28" ht="24" customHeight="1" x14ac:dyDescent="0.2">
      <c r="A25" s="82" t="s">
        <v>78</v>
      </c>
      <c r="B25" s="83" t="s">
        <v>79</v>
      </c>
      <c r="C25" s="82" t="s">
        <v>60</v>
      </c>
      <c r="D25" s="82" t="s">
        <v>80</v>
      </c>
      <c r="E25" s="84" t="s">
        <v>32</v>
      </c>
      <c r="F25" s="83">
        <v>411.4</v>
      </c>
      <c r="G25" s="85">
        <v>17.04</v>
      </c>
      <c r="H25" s="85">
        <v>9.76</v>
      </c>
      <c r="I25" s="85">
        <v>7.28</v>
      </c>
      <c r="J25" s="85">
        <f>TRUNC(G25 * (1 + 0 / 100), 2)</f>
        <v>17.04</v>
      </c>
      <c r="K25" s="85">
        <f>TRUNC(F25 * H25, 2)</f>
        <v>4015.26</v>
      </c>
      <c r="L25" s="85">
        <f>M25 - K25</f>
        <v>2994.99</v>
      </c>
      <c r="M25" s="85">
        <f>TRUNC(F25 * J25, 2)</f>
        <v>7010.25</v>
      </c>
      <c r="N25" s="86">
        <f t="shared" si="0"/>
        <v>2.6207564298040692E-3</v>
      </c>
      <c r="O25" s="71" t="s">
        <v>359</v>
      </c>
      <c r="P25" s="67">
        <f>IF(O25="BDI  PADRÃO",'BDI 2025'!$E$16,'BDI 2025'!$G$16)</f>
        <v>0.2049</v>
      </c>
      <c r="Q25" s="68">
        <f t="shared" si="13"/>
        <v>11.75</v>
      </c>
      <c r="R25" s="68">
        <f t="shared" si="14"/>
        <v>8.7800000000000011</v>
      </c>
      <c r="S25" s="68">
        <f t="shared" si="15"/>
        <v>20.53</v>
      </c>
      <c r="T25" s="68">
        <f t="shared" si="16"/>
        <v>4833.95</v>
      </c>
      <c r="U25" s="68">
        <f t="shared" si="17"/>
        <v>3612.0900000000011</v>
      </c>
      <c r="V25" s="68">
        <f t="shared" si="18"/>
        <v>8446.0400000000009</v>
      </c>
      <c r="W25" s="68">
        <f t="shared" si="19"/>
        <v>11.75</v>
      </c>
      <c r="X25" s="68">
        <f t="shared" si="20"/>
        <v>8.7800000000000011</v>
      </c>
      <c r="Y25" s="68">
        <f t="shared" si="21"/>
        <v>20.53</v>
      </c>
      <c r="Z25" s="68">
        <f t="shared" si="22"/>
        <v>4833.95</v>
      </c>
      <c r="AA25" s="68">
        <f t="shared" si="23"/>
        <v>3612.0900000000011</v>
      </c>
      <c r="AB25" s="68">
        <f t="shared" si="24"/>
        <v>8446.0400000000009</v>
      </c>
    </row>
    <row r="26" spans="1:28" ht="24" customHeight="1" x14ac:dyDescent="0.2">
      <c r="A26" s="82" t="s">
        <v>81</v>
      </c>
      <c r="B26" s="83" t="s">
        <v>82</v>
      </c>
      <c r="C26" s="82" t="s">
        <v>48</v>
      </c>
      <c r="D26" s="82" t="s">
        <v>83</v>
      </c>
      <c r="E26" s="84" t="s">
        <v>45</v>
      </c>
      <c r="F26" s="83">
        <v>41.95</v>
      </c>
      <c r="G26" s="85">
        <v>7.4</v>
      </c>
      <c r="H26" s="85">
        <v>5.03</v>
      </c>
      <c r="I26" s="85">
        <v>2.37</v>
      </c>
      <c r="J26" s="85">
        <f>TRUNC(G26 * (1 + 0 / 100), 2)</f>
        <v>7.4</v>
      </c>
      <c r="K26" s="85">
        <f>TRUNC(F26 * H26, 2)</f>
        <v>211</v>
      </c>
      <c r="L26" s="85">
        <f>M26 - K26</f>
        <v>99.43</v>
      </c>
      <c r="M26" s="85">
        <f>TRUNC(F26 * J26, 2)</f>
        <v>310.43</v>
      </c>
      <c r="N26" s="86">
        <f t="shared" si="0"/>
        <v>1.1605312485347559E-4</v>
      </c>
      <c r="O26" s="71" t="s">
        <v>359</v>
      </c>
      <c r="P26" s="67">
        <f>IF(O26="BDI  PADRÃO",'BDI 2025'!$E$16,'BDI 2025'!$G$16)</f>
        <v>0.2049</v>
      </c>
      <c r="Q26" s="68">
        <f t="shared" si="13"/>
        <v>6.06</v>
      </c>
      <c r="R26" s="68">
        <f t="shared" si="14"/>
        <v>2.8500000000000005</v>
      </c>
      <c r="S26" s="68">
        <f t="shared" si="15"/>
        <v>8.91</v>
      </c>
      <c r="T26" s="68">
        <f t="shared" si="16"/>
        <v>254.21</v>
      </c>
      <c r="U26" s="68">
        <f t="shared" si="17"/>
        <v>119.55999999999997</v>
      </c>
      <c r="V26" s="68">
        <f t="shared" si="18"/>
        <v>373.77</v>
      </c>
      <c r="W26" s="68">
        <f t="shared" si="19"/>
        <v>6.06</v>
      </c>
      <c r="X26" s="68">
        <f t="shared" si="20"/>
        <v>2.8500000000000005</v>
      </c>
      <c r="Y26" s="68">
        <f t="shared" si="21"/>
        <v>8.91</v>
      </c>
      <c r="Z26" s="68">
        <f t="shared" si="22"/>
        <v>254.21</v>
      </c>
      <c r="AA26" s="68">
        <f t="shared" si="23"/>
        <v>119.55999999999997</v>
      </c>
      <c r="AB26" s="68">
        <f t="shared" si="24"/>
        <v>373.77</v>
      </c>
    </row>
    <row r="27" spans="1:28" ht="24" customHeight="1" x14ac:dyDescent="0.2">
      <c r="A27" s="78" t="s">
        <v>84</v>
      </c>
      <c r="B27" s="78"/>
      <c r="C27" s="78"/>
      <c r="D27" s="78" t="s">
        <v>85</v>
      </c>
      <c r="E27" s="78"/>
      <c r="F27" s="79"/>
      <c r="G27" s="78"/>
      <c r="H27" s="78"/>
      <c r="I27" s="78"/>
      <c r="J27" s="78"/>
      <c r="K27" s="78"/>
      <c r="L27" s="78"/>
      <c r="M27" s="80">
        <v>600.23</v>
      </c>
      <c r="N27" s="81">
        <f t="shared" si="0"/>
        <v>2.2439379934542942E-4</v>
      </c>
      <c r="O27" s="69"/>
      <c r="P27" s="69"/>
      <c r="Q27" s="69"/>
      <c r="R27" s="69"/>
      <c r="S27" s="69"/>
      <c r="T27" s="69"/>
      <c r="U27" s="69"/>
      <c r="V27" s="70">
        <f>SUM(V28:V31)</f>
        <v>723.1400000000001</v>
      </c>
      <c r="W27" s="69"/>
      <c r="X27" s="69"/>
      <c r="Y27" s="69"/>
      <c r="Z27" s="69"/>
      <c r="AA27" s="69"/>
      <c r="AB27" s="70">
        <f>SUM(AB28:AB31)</f>
        <v>723.1400000000001</v>
      </c>
    </row>
    <row r="28" spans="1:28" ht="24" customHeight="1" x14ac:dyDescent="0.2">
      <c r="A28" s="82" t="s">
        <v>86</v>
      </c>
      <c r="B28" s="83" t="s">
        <v>87</v>
      </c>
      <c r="C28" s="82" t="s">
        <v>60</v>
      </c>
      <c r="D28" s="82" t="s">
        <v>88</v>
      </c>
      <c r="E28" s="84" t="s">
        <v>89</v>
      </c>
      <c r="F28" s="83">
        <v>2</v>
      </c>
      <c r="G28" s="85">
        <v>188.14</v>
      </c>
      <c r="H28" s="85">
        <v>136.46</v>
      </c>
      <c r="I28" s="85">
        <v>51.68</v>
      </c>
      <c r="J28" s="85">
        <f>TRUNC(G28 * (1 + 0 / 100), 2)</f>
        <v>188.14</v>
      </c>
      <c r="K28" s="85">
        <f>TRUNC(F28 * H28, 2)</f>
        <v>272.92</v>
      </c>
      <c r="L28" s="85">
        <f>M28 - K28</f>
        <v>103.35999999999996</v>
      </c>
      <c r="M28" s="85">
        <f>TRUNC(F28 * J28, 2)</f>
        <v>376.28</v>
      </c>
      <c r="N28" s="86">
        <f t="shared" si="0"/>
        <v>1.4067090751494955E-4</v>
      </c>
      <c r="O28" s="71" t="s">
        <v>359</v>
      </c>
      <c r="P28" s="67">
        <f>IF(O28="BDI  PADRÃO",'BDI 2025'!$E$16,'BDI 2025'!$G$16)</f>
        <v>0.2049</v>
      </c>
      <c r="Q28" s="68">
        <f t="shared" ref="Q28:Q31" si="25">TRUNC($H28*(1+$P28),2)</f>
        <v>164.42</v>
      </c>
      <c r="R28" s="68">
        <f t="shared" ref="R28:R31" si="26">S28-Q28</f>
        <v>62.260000000000019</v>
      </c>
      <c r="S28" s="68">
        <f t="shared" ref="S28:S31" si="27">TRUNC($G28*(1+$P28),2)</f>
        <v>226.68</v>
      </c>
      <c r="T28" s="68">
        <f t="shared" ref="T28:T31" si="28">TRUNC(Q28*$F28,2)</f>
        <v>328.84</v>
      </c>
      <c r="U28" s="68">
        <f t="shared" ref="U28:U31" si="29">V28-T28</f>
        <v>124.52000000000004</v>
      </c>
      <c r="V28" s="68">
        <f t="shared" ref="V28:V31" si="30">TRUNC(S28*$F28,2)</f>
        <v>453.36</v>
      </c>
      <c r="W28" s="68">
        <f t="shared" ref="W28:W31" si="31">TRUNC($H28*(1+$P28-$R$1),2)</f>
        <v>164.42</v>
      </c>
      <c r="X28" s="68">
        <f t="shared" ref="X28:X31" si="32">Y28-W28</f>
        <v>62.260000000000019</v>
      </c>
      <c r="Y28" s="68">
        <f t="shared" ref="Y28:Y31" si="33">TRUNC($G28*(1+$P28-$R$1),2)</f>
        <v>226.68</v>
      </c>
      <c r="Z28" s="68">
        <f t="shared" ref="Z28:Z31" si="34">TRUNC(W28*$F28,2)</f>
        <v>328.84</v>
      </c>
      <c r="AA28" s="68">
        <f t="shared" ref="AA28:AA31" si="35">AB28-Z28</f>
        <v>124.52000000000004</v>
      </c>
      <c r="AB28" s="68">
        <f t="shared" ref="AB28:AB31" si="36">TRUNC(Y28*$F28,2)</f>
        <v>453.36</v>
      </c>
    </row>
    <row r="29" spans="1:28" ht="24" customHeight="1" x14ac:dyDescent="0.2">
      <c r="A29" s="82" t="s">
        <v>90</v>
      </c>
      <c r="B29" s="83" t="s">
        <v>91</v>
      </c>
      <c r="C29" s="82" t="s">
        <v>48</v>
      </c>
      <c r="D29" s="82" t="s">
        <v>92</v>
      </c>
      <c r="E29" s="84" t="s">
        <v>65</v>
      </c>
      <c r="F29" s="83">
        <v>4</v>
      </c>
      <c r="G29" s="85">
        <v>28.39</v>
      </c>
      <c r="H29" s="85">
        <v>20.170000000000002</v>
      </c>
      <c r="I29" s="85">
        <v>8.2200000000000006</v>
      </c>
      <c r="J29" s="85">
        <f>TRUNC(G29 * (1 + 0 / 100), 2)</f>
        <v>28.39</v>
      </c>
      <c r="K29" s="85">
        <f>TRUNC(F29 * H29, 2)</f>
        <v>80.680000000000007</v>
      </c>
      <c r="L29" s="85">
        <f>M29 - K29</f>
        <v>32.879999999999995</v>
      </c>
      <c r="M29" s="85">
        <f>TRUNC(F29 * J29, 2)</f>
        <v>113.56</v>
      </c>
      <c r="N29" s="86">
        <f t="shared" si="0"/>
        <v>4.2453992392361201E-5</v>
      </c>
      <c r="O29" s="71" t="s">
        <v>359</v>
      </c>
      <c r="P29" s="67">
        <f>IF(O29="BDI  PADRÃO",'BDI 2025'!$E$16,'BDI 2025'!$G$16)</f>
        <v>0.2049</v>
      </c>
      <c r="Q29" s="68">
        <f t="shared" si="25"/>
        <v>24.3</v>
      </c>
      <c r="R29" s="68">
        <f t="shared" si="26"/>
        <v>9.9000000000000021</v>
      </c>
      <c r="S29" s="68">
        <f t="shared" si="27"/>
        <v>34.200000000000003</v>
      </c>
      <c r="T29" s="68">
        <f t="shared" si="28"/>
        <v>97.2</v>
      </c>
      <c r="U29" s="68">
        <f t="shared" si="29"/>
        <v>39.600000000000009</v>
      </c>
      <c r="V29" s="68">
        <f t="shared" si="30"/>
        <v>136.80000000000001</v>
      </c>
      <c r="W29" s="68">
        <f t="shared" si="31"/>
        <v>24.3</v>
      </c>
      <c r="X29" s="68">
        <f t="shared" si="32"/>
        <v>9.9000000000000021</v>
      </c>
      <c r="Y29" s="68">
        <f t="shared" si="33"/>
        <v>34.200000000000003</v>
      </c>
      <c r="Z29" s="68">
        <f t="shared" si="34"/>
        <v>97.2</v>
      </c>
      <c r="AA29" s="68">
        <f t="shared" si="35"/>
        <v>39.600000000000009</v>
      </c>
      <c r="AB29" s="68">
        <f t="shared" si="36"/>
        <v>136.80000000000001</v>
      </c>
    </row>
    <row r="30" spans="1:28" ht="26.1" customHeight="1" x14ac:dyDescent="0.2">
      <c r="A30" s="82" t="s">
        <v>93</v>
      </c>
      <c r="B30" s="83" t="s">
        <v>94</v>
      </c>
      <c r="C30" s="82" t="s">
        <v>23</v>
      </c>
      <c r="D30" s="82" t="s">
        <v>95</v>
      </c>
      <c r="E30" s="84" t="s">
        <v>65</v>
      </c>
      <c r="F30" s="83">
        <v>4</v>
      </c>
      <c r="G30" s="85">
        <v>12.38</v>
      </c>
      <c r="H30" s="85">
        <v>8.7200000000000006</v>
      </c>
      <c r="I30" s="85">
        <v>3.66</v>
      </c>
      <c r="J30" s="85">
        <f>TRUNC(G30 * (1 + 0 / 100), 2)</f>
        <v>12.38</v>
      </c>
      <c r="K30" s="85">
        <f>TRUNC(F30 * H30, 2)</f>
        <v>34.880000000000003</v>
      </c>
      <c r="L30" s="85">
        <f>M30 - K30</f>
        <v>14.64</v>
      </c>
      <c r="M30" s="85">
        <f>TRUNC(F30 * J30, 2)</f>
        <v>49.52</v>
      </c>
      <c r="N30" s="86">
        <f t="shared" si="0"/>
        <v>1.8512871638514677E-5</v>
      </c>
      <c r="O30" s="71" t="s">
        <v>359</v>
      </c>
      <c r="P30" s="67">
        <f>IF(O30="BDI  PADRÃO",'BDI 2025'!$E$16,'BDI 2025'!$G$16)</f>
        <v>0.2049</v>
      </c>
      <c r="Q30" s="68">
        <f t="shared" si="25"/>
        <v>10.5</v>
      </c>
      <c r="R30" s="68">
        <f t="shared" si="26"/>
        <v>4.41</v>
      </c>
      <c r="S30" s="68">
        <f t="shared" si="27"/>
        <v>14.91</v>
      </c>
      <c r="T30" s="68">
        <f t="shared" si="28"/>
        <v>42</v>
      </c>
      <c r="U30" s="68">
        <f t="shared" si="29"/>
        <v>17.64</v>
      </c>
      <c r="V30" s="68">
        <f t="shared" si="30"/>
        <v>59.64</v>
      </c>
      <c r="W30" s="68">
        <f t="shared" si="31"/>
        <v>10.5</v>
      </c>
      <c r="X30" s="68">
        <f t="shared" si="32"/>
        <v>4.41</v>
      </c>
      <c r="Y30" s="68">
        <f t="shared" si="33"/>
        <v>14.91</v>
      </c>
      <c r="Z30" s="68">
        <f t="shared" si="34"/>
        <v>42</v>
      </c>
      <c r="AA30" s="68">
        <f t="shared" si="35"/>
        <v>17.64</v>
      </c>
      <c r="AB30" s="68">
        <f t="shared" si="36"/>
        <v>59.64</v>
      </c>
    </row>
    <row r="31" spans="1:28" ht="26.1" customHeight="1" x14ac:dyDescent="0.2">
      <c r="A31" s="82" t="s">
        <v>96</v>
      </c>
      <c r="B31" s="83" t="s">
        <v>97</v>
      </c>
      <c r="C31" s="82" t="s">
        <v>23</v>
      </c>
      <c r="D31" s="82" t="s">
        <v>98</v>
      </c>
      <c r="E31" s="84" t="s">
        <v>99</v>
      </c>
      <c r="F31" s="83">
        <v>0.8</v>
      </c>
      <c r="G31" s="85">
        <v>76.09</v>
      </c>
      <c r="H31" s="85">
        <v>52.64</v>
      </c>
      <c r="I31" s="85">
        <v>23.45</v>
      </c>
      <c r="J31" s="85">
        <f>TRUNC(G31 * (1 + 0 / 100), 2)</f>
        <v>76.09</v>
      </c>
      <c r="K31" s="85">
        <f>TRUNC(F31 * H31, 2)</f>
        <v>42.11</v>
      </c>
      <c r="L31" s="85">
        <f>M31 - K31</f>
        <v>18.759999999999998</v>
      </c>
      <c r="M31" s="85">
        <f>TRUNC(F31 * J31, 2)</f>
        <v>60.87</v>
      </c>
      <c r="N31" s="86">
        <f t="shared" si="0"/>
        <v>2.2756027799603965E-5</v>
      </c>
      <c r="O31" s="71" t="s">
        <v>359</v>
      </c>
      <c r="P31" s="67">
        <f>IF(O31="BDI  PADRÃO",'BDI 2025'!$E$16,'BDI 2025'!$G$16)</f>
        <v>0.2049</v>
      </c>
      <c r="Q31" s="68">
        <f t="shared" si="25"/>
        <v>63.42</v>
      </c>
      <c r="R31" s="68">
        <f t="shared" si="26"/>
        <v>28.260000000000005</v>
      </c>
      <c r="S31" s="68">
        <f t="shared" si="27"/>
        <v>91.68</v>
      </c>
      <c r="T31" s="68">
        <f t="shared" si="28"/>
        <v>50.73</v>
      </c>
      <c r="U31" s="68">
        <f t="shared" si="29"/>
        <v>22.610000000000007</v>
      </c>
      <c r="V31" s="68">
        <f t="shared" si="30"/>
        <v>73.34</v>
      </c>
      <c r="W31" s="68">
        <f t="shared" si="31"/>
        <v>63.42</v>
      </c>
      <c r="X31" s="68">
        <f t="shared" si="32"/>
        <v>28.260000000000005</v>
      </c>
      <c r="Y31" s="68">
        <f t="shared" si="33"/>
        <v>91.68</v>
      </c>
      <c r="Z31" s="68">
        <f t="shared" si="34"/>
        <v>50.73</v>
      </c>
      <c r="AA31" s="68">
        <f t="shared" si="35"/>
        <v>22.610000000000007</v>
      </c>
      <c r="AB31" s="68">
        <f t="shared" si="36"/>
        <v>73.34</v>
      </c>
    </row>
    <row r="32" spans="1:28" ht="24" customHeight="1" x14ac:dyDescent="0.2">
      <c r="A32" s="78" t="s">
        <v>100</v>
      </c>
      <c r="B32" s="78"/>
      <c r="C32" s="78"/>
      <c r="D32" s="78" t="s">
        <v>101</v>
      </c>
      <c r="E32" s="78"/>
      <c r="F32" s="79"/>
      <c r="G32" s="78"/>
      <c r="H32" s="78"/>
      <c r="I32" s="78"/>
      <c r="J32" s="78"/>
      <c r="K32" s="78"/>
      <c r="L32" s="78"/>
      <c r="M32" s="80">
        <v>59378.400000000001</v>
      </c>
      <c r="N32" s="81">
        <f t="shared" si="0"/>
        <v>2.2198398572301693E-2</v>
      </c>
      <c r="O32" s="69"/>
      <c r="P32" s="69"/>
      <c r="Q32" s="69"/>
      <c r="R32" s="69"/>
      <c r="S32" s="69"/>
      <c r="T32" s="69"/>
      <c r="U32" s="69"/>
      <c r="V32" s="70">
        <f>SUM(V33,V35,V39,V41)</f>
        <v>71524.899999999994</v>
      </c>
      <c r="W32" s="69"/>
      <c r="X32" s="69"/>
      <c r="Y32" s="69"/>
      <c r="Z32" s="69"/>
      <c r="AA32" s="69"/>
      <c r="AB32" s="70">
        <f>SUM(AB33,AB35,AB39,AB41)</f>
        <v>71524.899999999994</v>
      </c>
    </row>
    <row r="33" spans="1:28" ht="24" customHeight="1" x14ac:dyDescent="0.2">
      <c r="A33" s="78" t="s">
        <v>102</v>
      </c>
      <c r="B33" s="78"/>
      <c r="C33" s="78"/>
      <c r="D33" s="78" t="s">
        <v>103</v>
      </c>
      <c r="E33" s="78"/>
      <c r="F33" s="79"/>
      <c r="G33" s="78"/>
      <c r="H33" s="78"/>
      <c r="I33" s="78"/>
      <c r="J33" s="78"/>
      <c r="K33" s="78"/>
      <c r="L33" s="78"/>
      <c r="M33" s="80">
        <v>226.69</v>
      </c>
      <c r="N33" s="81">
        <f t="shared" si="0"/>
        <v>8.4747230850866154E-5</v>
      </c>
      <c r="O33" s="69"/>
      <c r="P33" s="69"/>
      <c r="Q33" s="69"/>
      <c r="R33" s="69"/>
      <c r="S33" s="69"/>
      <c r="T33" s="69"/>
      <c r="U33" s="69"/>
      <c r="V33" s="70">
        <f>SUM(V34)</f>
        <v>273.13</v>
      </c>
      <c r="W33" s="69"/>
      <c r="X33" s="69"/>
      <c r="Y33" s="69"/>
      <c r="Z33" s="69"/>
      <c r="AA33" s="69"/>
      <c r="AB33" s="70">
        <f>SUM(AB34)</f>
        <v>273.13</v>
      </c>
    </row>
    <row r="34" spans="1:28" ht="26.1" customHeight="1" x14ac:dyDescent="0.2">
      <c r="A34" s="82" t="s">
        <v>104</v>
      </c>
      <c r="B34" s="83" t="s">
        <v>105</v>
      </c>
      <c r="C34" s="82" t="s">
        <v>48</v>
      </c>
      <c r="D34" s="82" t="s">
        <v>106</v>
      </c>
      <c r="E34" s="84" t="s">
        <v>99</v>
      </c>
      <c r="F34" s="83">
        <v>0.92</v>
      </c>
      <c r="G34" s="85">
        <v>246.41</v>
      </c>
      <c r="H34" s="85">
        <v>202.18</v>
      </c>
      <c r="I34" s="85">
        <v>44.23</v>
      </c>
      <c r="J34" s="85">
        <f>TRUNC(G34 * (1 + 0 / 100), 2)</f>
        <v>246.41</v>
      </c>
      <c r="K34" s="85">
        <f>TRUNC(F34 * H34, 2)</f>
        <v>186</v>
      </c>
      <c r="L34" s="85">
        <f>M34 - K34</f>
        <v>40.69</v>
      </c>
      <c r="M34" s="85">
        <f>TRUNC(F34 * J34, 2)</f>
        <v>226.69</v>
      </c>
      <c r="N34" s="86">
        <f t="shared" si="0"/>
        <v>8.4747230850866154E-5</v>
      </c>
      <c r="O34" s="71" t="s">
        <v>359</v>
      </c>
      <c r="P34" s="67">
        <f>IF(O34="BDI  PADRÃO",'BDI 2025'!$E$16,'BDI 2025'!$G$16)</f>
        <v>0.2049</v>
      </c>
      <c r="Q34" s="68">
        <f>TRUNC($H34*(1+$P34),2)</f>
        <v>243.6</v>
      </c>
      <c r="R34" s="68">
        <f>S34-Q34</f>
        <v>53.289999999999992</v>
      </c>
      <c r="S34" s="68">
        <f>TRUNC($G34*(1+$P34),2)</f>
        <v>296.89</v>
      </c>
      <c r="T34" s="68">
        <f>TRUNC(Q34*$F34,2)</f>
        <v>224.11</v>
      </c>
      <c r="U34" s="68">
        <f>V34-T34</f>
        <v>49.019999999999982</v>
      </c>
      <c r="V34" s="68">
        <f>TRUNC(S34*$F34,2)</f>
        <v>273.13</v>
      </c>
      <c r="W34" s="68">
        <f>TRUNC($H34*(1+$P34-$R$1),2)</f>
        <v>243.6</v>
      </c>
      <c r="X34" s="68">
        <f>Y34-W34</f>
        <v>53.289999999999992</v>
      </c>
      <c r="Y34" s="68">
        <f>TRUNC($G34*(1+$P34-$R$1),2)</f>
        <v>296.89</v>
      </c>
      <c r="Z34" s="68">
        <f>TRUNC(W34*$F34,2)</f>
        <v>224.11</v>
      </c>
      <c r="AA34" s="68">
        <f>AB34-Z34</f>
        <v>49.019999999999982</v>
      </c>
      <c r="AB34" s="68">
        <f>TRUNC(Y34*$F34,2)</f>
        <v>273.13</v>
      </c>
    </row>
    <row r="35" spans="1:28" ht="24" customHeight="1" x14ac:dyDescent="0.2">
      <c r="A35" s="78" t="s">
        <v>107</v>
      </c>
      <c r="B35" s="78"/>
      <c r="C35" s="78"/>
      <c r="D35" s="78" t="s">
        <v>108</v>
      </c>
      <c r="E35" s="78"/>
      <c r="F35" s="79"/>
      <c r="G35" s="78"/>
      <c r="H35" s="78"/>
      <c r="I35" s="78"/>
      <c r="J35" s="78"/>
      <c r="K35" s="78"/>
      <c r="L35" s="78"/>
      <c r="M35" s="80">
        <v>45466.83</v>
      </c>
      <c r="N35" s="81">
        <f t="shared" si="0"/>
        <v>1.6997608796449279E-2</v>
      </c>
      <c r="O35" s="69"/>
      <c r="P35" s="69"/>
      <c r="Q35" s="69"/>
      <c r="R35" s="69"/>
      <c r="S35" s="69"/>
      <c r="T35" s="69"/>
      <c r="U35" s="69"/>
      <c r="V35" s="70">
        <f>SUM(V36:V38)</f>
        <v>54766.37</v>
      </c>
      <c r="W35" s="69"/>
      <c r="X35" s="69"/>
      <c r="Y35" s="69"/>
      <c r="Z35" s="69"/>
      <c r="AA35" s="69"/>
      <c r="AB35" s="70">
        <f>SUM(AB36:AB38)</f>
        <v>54766.37</v>
      </c>
    </row>
    <row r="36" spans="1:28" ht="24" customHeight="1" x14ac:dyDescent="0.2">
      <c r="A36" s="82" t="s">
        <v>109</v>
      </c>
      <c r="B36" s="83" t="s">
        <v>79</v>
      </c>
      <c r="C36" s="82" t="s">
        <v>60</v>
      </c>
      <c r="D36" s="82" t="s">
        <v>80</v>
      </c>
      <c r="E36" s="84" t="s">
        <v>32</v>
      </c>
      <c r="F36" s="83">
        <v>293.29000000000002</v>
      </c>
      <c r="G36" s="85">
        <v>17.04</v>
      </c>
      <c r="H36" s="85">
        <v>9.76</v>
      </c>
      <c r="I36" s="85">
        <v>7.28</v>
      </c>
      <c r="J36" s="85">
        <f>TRUNC(G36 * (1 + 0 / 100), 2)</f>
        <v>17.04</v>
      </c>
      <c r="K36" s="85">
        <f>TRUNC(F36 * H36, 2)</f>
        <v>2862.51</v>
      </c>
      <c r="L36" s="85">
        <f>M36 - K36</f>
        <v>2135.1499999999996</v>
      </c>
      <c r="M36" s="85">
        <f>TRUNC(F36 * J36, 2)</f>
        <v>4997.66</v>
      </c>
      <c r="N36" s="86">
        <f t="shared" si="0"/>
        <v>1.8683569885488542E-3</v>
      </c>
      <c r="O36" s="71" t="s">
        <v>359</v>
      </c>
      <c r="P36" s="67">
        <f>IF(O36="BDI  PADRÃO",'BDI 2025'!$E$16,'BDI 2025'!$G$16)</f>
        <v>0.2049</v>
      </c>
      <c r="Q36" s="68">
        <f t="shared" ref="Q36:Q38" si="37">TRUNC($H36*(1+$P36),2)</f>
        <v>11.75</v>
      </c>
      <c r="R36" s="68">
        <f t="shared" ref="R36:R38" si="38">S36-Q36</f>
        <v>8.7800000000000011</v>
      </c>
      <c r="S36" s="68">
        <f t="shared" ref="S36:S38" si="39">TRUNC($G36*(1+$P36),2)</f>
        <v>20.53</v>
      </c>
      <c r="T36" s="68">
        <f t="shared" ref="T36:T38" si="40">TRUNC(Q36*$F36,2)</f>
        <v>3446.15</v>
      </c>
      <c r="U36" s="68">
        <f t="shared" ref="U36:U38" si="41">V36-T36</f>
        <v>2575.0899999999997</v>
      </c>
      <c r="V36" s="68">
        <f t="shared" ref="V36:V38" si="42">TRUNC(S36*$F36,2)</f>
        <v>6021.24</v>
      </c>
      <c r="W36" s="68">
        <f t="shared" ref="W36:W38" si="43">TRUNC($H36*(1+$P36-$R$1),2)</f>
        <v>11.75</v>
      </c>
      <c r="X36" s="68">
        <f t="shared" ref="X36:X38" si="44">Y36-W36</f>
        <v>8.7800000000000011</v>
      </c>
      <c r="Y36" s="68">
        <f t="shared" ref="Y36:Y38" si="45">TRUNC($G36*(1+$P36-$R$1),2)</f>
        <v>20.53</v>
      </c>
      <c r="Z36" s="68">
        <f t="shared" ref="Z36:Z38" si="46">TRUNC(W36*$F36,2)</f>
        <v>3446.15</v>
      </c>
      <c r="AA36" s="68">
        <f t="shared" ref="AA36:AA38" si="47">AB36-Z36</f>
        <v>2575.0899999999997</v>
      </c>
      <c r="AB36" s="68">
        <f t="shared" ref="AB36:AB38" si="48">TRUNC(Y36*$F36,2)</f>
        <v>6021.24</v>
      </c>
    </row>
    <row r="37" spans="1:28" ht="26.1" customHeight="1" x14ac:dyDescent="0.2">
      <c r="A37" s="82" t="s">
        <v>110</v>
      </c>
      <c r="B37" s="83" t="s">
        <v>71</v>
      </c>
      <c r="C37" s="82" t="s">
        <v>60</v>
      </c>
      <c r="D37" s="82" t="s">
        <v>72</v>
      </c>
      <c r="E37" s="84" t="s">
        <v>32</v>
      </c>
      <c r="F37" s="83">
        <v>189.38</v>
      </c>
      <c r="G37" s="85">
        <v>11.48</v>
      </c>
      <c r="H37" s="85">
        <v>7.8</v>
      </c>
      <c r="I37" s="85">
        <v>3.68</v>
      </c>
      <c r="J37" s="85">
        <f>TRUNC(G37 * (1 + 0 / 100), 2)</f>
        <v>11.48</v>
      </c>
      <c r="K37" s="85">
        <f>TRUNC(F37 * H37, 2)</f>
        <v>1477.16</v>
      </c>
      <c r="L37" s="85">
        <f>M37 - K37</f>
        <v>696.91999999999985</v>
      </c>
      <c r="M37" s="85">
        <f>TRUNC(F37 * J37, 2)</f>
        <v>2174.08</v>
      </c>
      <c r="N37" s="86">
        <f t="shared" si="0"/>
        <v>8.1277188957718069E-4</v>
      </c>
      <c r="O37" s="71" t="s">
        <v>359</v>
      </c>
      <c r="P37" s="67">
        <f>IF(O37="BDI  PADRÃO",'BDI 2025'!$E$16,'BDI 2025'!$G$16)</f>
        <v>0.2049</v>
      </c>
      <c r="Q37" s="68">
        <f t="shared" si="37"/>
        <v>9.39</v>
      </c>
      <c r="R37" s="68">
        <f t="shared" si="38"/>
        <v>4.4399999999999995</v>
      </c>
      <c r="S37" s="68">
        <f t="shared" si="39"/>
        <v>13.83</v>
      </c>
      <c r="T37" s="68">
        <f t="shared" si="40"/>
        <v>1778.27</v>
      </c>
      <c r="U37" s="68">
        <f t="shared" si="41"/>
        <v>840.84999999999991</v>
      </c>
      <c r="V37" s="68">
        <f t="shared" si="42"/>
        <v>2619.12</v>
      </c>
      <c r="W37" s="68">
        <f t="shared" si="43"/>
        <v>9.39</v>
      </c>
      <c r="X37" s="68">
        <f t="shared" si="44"/>
        <v>4.4399999999999995</v>
      </c>
      <c r="Y37" s="68">
        <f t="shared" si="45"/>
        <v>13.83</v>
      </c>
      <c r="Z37" s="68">
        <f t="shared" si="46"/>
        <v>1778.27</v>
      </c>
      <c r="AA37" s="68">
        <f t="shared" si="47"/>
        <v>840.84999999999991</v>
      </c>
      <c r="AB37" s="68">
        <f t="shared" si="48"/>
        <v>2619.12</v>
      </c>
    </row>
    <row r="38" spans="1:28" ht="26.1" customHeight="1" x14ac:dyDescent="0.2">
      <c r="A38" s="82" t="s">
        <v>111</v>
      </c>
      <c r="B38" s="83" t="s">
        <v>112</v>
      </c>
      <c r="C38" s="82" t="s">
        <v>60</v>
      </c>
      <c r="D38" s="82" t="s">
        <v>113</v>
      </c>
      <c r="E38" s="84" t="s">
        <v>32</v>
      </c>
      <c r="F38" s="83">
        <v>1591.65</v>
      </c>
      <c r="G38" s="85">
        <v>24.06</v>
      </c>
      <c r="H38" s="85">
        <v>16.46</v>
      </c>
      <c r="I38" s="85">
        <v>7.6</v>
      </c>
      <c r="J38" s="85">
        <f>TRUNC(G38 * (1 + 0 / 100), 2)</f>
        <v>24.06</v>
      </c>
      <c r="K38" s="85">
        <f>TRUNC(F38 * H38, 2)</f>
        <v>26198.55</v>
      </c>
      <c r="L38" s="85">
        <f>M38 - K38</f>
        <v>12096.539999999997</v>
      </c>
      <c r="M38" s="85">
        <f>TRUNC(F38 * J38, 2)</f>
        <v>38295.089999999997</v>
      </c>
      <c r="N38" s="86">
        <f t="shared" si="0"/>
        <v>1.4316479918323242E-2</v>
      </c>
      <c r="O38" s="71" t="s">
        <v>359</v>
      </c>
      <c r="P38" s="67">
        <f>IF(O38="BDI  PADRÃO",'BDI 2025'!$E$16,'BDI 2025'!$G$16)</f>
        <v>0.2049</v>
      </c>
      <c r="Q38" s="68">
        <f t="shared" si="37"/>
        <v>19.829999999999998</v>
      </c>
      <c r="R38" s="68">
        <f t="shared" si="38"/>
        <v>9.1500000000000021</v>
      </c>
      <c r="S38" s="68">
        <f t="shared" si="39"/>
        <v>28.98</v>
      </c>
      <c r="T38" s="68">
        <f t="shared" si="40"/>
        <v>31562.41</v>
      </c>
      <c r="U38" s="68">
        <f t="shared" si="41"/>
        <v>14563.600000000002</v>
      </c>
      <c r="V38" s="68">
        <f t="shared" si="42"/>
        <v>46126.01</v>
      </c>
      <c r="W38" s="68">
        <f t="shared" si="43"/>
        <v>19.829999999999998</v>
      </c>
      <c r="X38" s="68">
        <f t="shared" si="44"/>
        <v>9.1500000000000021</v>
      </c>
      <c r="Y38" s="68">
        <f t="shared" si="45"/>
        <v>28.98</v>
      </c>
      <c r="Z38" s="68">
        <f t="shared" si="46"/>
        <v>31562.41</v>
      </c>
      <c r="AA38" s="68">
        <f t="shared" si="47"/>
        <v>14563.600000000002</v>
      </c>
      <c r="AB38" s="68">
        <f t="shared" si="48"/>
        <v>46126.01</v>
      </c>
    </row>
    <row r="39" spans="1:28" ht="24" customHeight="1" x14ac:dyDescent="0.2">
      <c r="A39" s="78" t="s">
        <v>114</v>
      </c>
      <c r="B39" s="78"/>
      <c r="C39" s="78"/>
      <c r="D39" s="78" t="s">
        <v>115</v>
      </c>
      <c r="E39" s="78"/>
      <c r="F39" s="79"/>
      <c r="G39" s="78"/>
      <c r="H39" s="78"/>
      <c r="I39" s="78"/>
      <c r="J39" s="78"/>
      <c r="K39" s="78"/>
      <c r="L39" s="78"/>
      <c r="M39" s="80">
        <v>7032.42</v>
      </c>
      <c r="N39" s="81">
        <f t="shared" si="0"/>
        <v>2.629044603556611E-3</v>
      </c>
      <c r="O39" s="69"/>
      <c r="P39" s="69"/>
      <c r="Q39" s="69"/>
      <c r="R39" s="69"/>
      <c r="S39" s="69"/>
      <c r="T39" s="69"/>
      <c r="U39" s="69"/>
      <c r="V39" s="70">
        <f>SUM(V40)</f>
        <v>8473.14</v>
      </c>
      <c r="W39" s="69"/>
      <c r="X39" s="69"/>
      <c r="Y39" s="69"/>
      <c r="Z39" s="69"/>
      <c r="AA39" s="69"/>
      <c r="AB39" s="70">
        <f>SUM(AB40)</f>
        <v>8473.14</v>
      </c>
    </row>
    <row r="40" spans="1:28" ht="39" customHeight="1" x14ac:dyDescent="0.2">
      <c r="A40" s="82" t="s">
        <v>116</v>
      </c>
      <c r="B40" s="83" t="s">
        <v>117</v>
      </c>
      <c r="C40" s="82" t="s">
        <v>23</v>
      </c>
      <c r="D40" s="82" t="s">
        <v>118</v>
      </c>
      <c r="E40" s="84" t="s">
        <v>99</v>
      </c>
      <c r="F40" s="83">
        <v>54</v>
      </c>
      <c r="G40" s="85">
        <v>130.22999999999999</v>
      </c>
      <c r="H40" s="85">
        <v>58.5</v>
      </c>
      <c r="I40" s="85">
        <v>71.73</v>
      </c>
      <c r="J40" s="85">
        <f>TRUNC(G40 * (1 + 0 / 100), 2)</f>
        <v>130.22999999999999</v>
      </c>
      <c r="K40" s="85">
        <f>TRUNC(F40 * H40, 2)</f>
        <v>3159</v>
      </c>
      <c r="L40" s="85">
        <f>M40 - K40</f>
        <v>3873.42</v>
      </c>
      <c r="M40" s="85">
        <f>TRUNC(F40 * J40, 2)</f>
        <v>7032.42</v>
      </c>
      <c r="N40" s="86">
        <f t="shared" si="0"/>
        <v>2.629044603556611E-3</v>
      </c>
      <c r="O40" s="71" t="s">
        <v>359</v>
      </c>
      <c r="P40" s="67">
        <f>IF(O40="BDI  PADRÃO",'BDI 2025'!$E$16,'BDI 2025'!$G$16)</f>
        <v>0.2049</v>
      </c>
      <c r="Q40" s="68">
        <f>TRUNC($H40*(1+$P40),2)</f>
        <v>70.48</v>
      </c>
      <c r="R40" s="68">
        <f>S40-Q40</f>
        <v>86.429999999999993</v>
      </c>
      <c r="S40" s="68">
        <f>TRUNC($G40*(1+$P40),2)</f>
        <v>156.91</v>
      </c>
      <c r="T40" s="68">
        <f>TRUNC(Q40*$F40,2)</f>
        <v>3805.92</v>
      </c>
      <c r="U40" s="68">
        <f>V40-T40</f>
        <v>4667.2199999999993</v>
      </c>
      <c r="V40" s="68">
        <f>TRUNC(S40*$F40,2)</f>
        <v>8473.14</v>
      </c>
      <c r="W40" s="68">
        <f>TRUNC($H40*(1+$P40-$R$1),2)</f>
        <v>70.48</v>
      </c>
      <c r="X40" s="68">
        <f>Y40-W40</f>
        <v>86.429999999999993</v>
      </c>
      <c r="Y40" s="68">
        <f>TRUNC($G40*(1+$P40-$R$1),2)</f>
        <v>156.91</v>
      </c>
      <c r="Z40" s="68">
        <f>TRUNC(W40*$F40,2)</f>
        <v>3805.92</v>
      </c>
      <c r="AA40" s="68">
        <f>AB40-Z40</f>
        <v>4667.2199999999993</v>
      </c>
      <c r="AB40" s="68">
        <f>TRUNC(Y40*$F40,2)</f>
        <v>8473.14</v>
      </c>
    </row>
    <row r="41" spans="1:28" ht="24" customHeight="1" x14ac:dyDescent="0.2">
      <c r="A41" s="78" t="s">
        <v>119</v>
      </c>
      <c r="B41" s="78"/>
      <c r="C41" s="78"/>
      <c r="D41" s="78" t="s">
        <v>120</v>
      </c>
      <c r="E41" s="78"/>
      <c r="F41" s="79"/>
      <c r="G41" s="78"/>
      <c r="H41" s="78"/>
      <c r="I41" s="78"/>
      <c r="J41" s="78"/>
      <c r="K41" s="78"/>
      <c r="L41" s="78"/>
      <c r="M41" s="80">
        <v>6652.46</v>
      </c>
      <c r="N41" s="81">
        <f t="shared" si="0"/>
        <v>2.4869979414449384E-3</v>
      </c>
      <c r="O41" s="69"/>
      <c r="P41" s="69"/>
      <c r="Q41" s="69"/>
      <c r="R41" s="69"/>
      <c r="S41" s="69"/>
      <c r="T41" s="69"/>
      <c r="U41" s="69"/>
      <c r="V41" s="70">
        <f>SUM(V42:V44)</f>
        <v>8012.2599999999993</v>
      </c>
      <c r="W41" s="69"/>
      <c r="X41" s="69"/>
      <c r="Y41" s="69"/>
      <c r="Z41" s="69"/>
      <c r="AA41" s="69"/>
      <c r="AB41" s="70">
        <f>SUM(AB42:AB44)</f>
        <v>8012.2599999999993</v>
      </c>
    </row>
    <row r="42" spans="1:28" ht="26.1" customHeight="1" x14ac:dyDescent="0.2">
      <c r="A42" s="82" t="s">
        <v>121</v>
      </c>
      <c r="B42" s="83" t="s">
        <v>122</v>
      </c>
      <c r="C42" s="82" t="s">
        <v>60</v>
      </c>
      <c r="D42" s="82" t="s">
        <v>123</v>
      </c>
      <c r="E42" s="84" t="s">
        <v>32</v>
      </c>
      <c r="F42" s="83">
        <v>292.73</v>
      </c>
      <c r="G42" s="85">
        <v>15.12</v>
      </c>
      <c r="H42" s="85">
        <v>10.53</v>
      </c>
      <c r="I42" s="85">
        <v>4.59</v>
      </c>
      <c r="J42" s="85">
        <f>TRUNC(G42 * (1 + 0 / 100), 2)</f>
        <v>15.12</v>
      </c>
      <c r="K42" s="85">
        <f>TRUNC(F42 * H42, 2)</f>
        <v>3082.44</v>
      </c>
      <c r="L42" s="85">
        <f>M42 - K42</f>
        <v>1343.6299999999997</v>
      </c>
      <c r="M42" s="85">
        <f>TRUNC(F42 * J42, 2)</f>
        <v>4426.07</v>
      </c>
      <c r="N42" s="86">
        <f t="shared" si="0"/>
        <v>1.6546701488909662E-3</v>
      </c>
      <c r="O42" s="71" t="s">
        <v>359</v>
      </c>
      <c r="P42" s="67">
        <f>IF(O42="BDI  PADRÃO",'BDI 2025'!$E$16,'BDI 2025'!$G$16)</f>
        <v>0.2049</v>
      </c>
      <c r="Q42" s="68">
        <f t="shared" ref="Q42:Q44" si="49">TRUNC($H42*(1+$P42),2)</f>
        <v>12.68</v>
      </c>
      <c r="R42" s="68">
        <f t="shared" ref="R42:R44" si="50">S42-Q42</f>
        <v>5.5300000000000011</v>
      </c>
      <c r="S42" s="68">
        <f t="shared" ref="S42:S44" si="51">TRUNC($G42*(1+$P42),2)</f>
        <v>18.21</v>
      </c>
      <c r="T42" s="68">
        <f t="shared" ref="T42:T44" si="52">TRUNC(Q42*$F42,2)</f>
        <v>3711.81</v>
      </c>
      <c r="U42" s="68">
        <f t="shared" ref="U42:U44" si="53">V42-T42</f>
        <v>1618.7999999999997</v>
      </c>
      <c r="V42" s="68">
        <f t="shared" ref="V42:V44" si="54">TRUNC(S42*$F42,2)</f>
        <v>5330.61</v>
      </c>
      <c r="W42" s="68">
        <f t="shared" ref="W42:W44" si="55">TRUNC($H42*(1+$P42-$R$1),2)</f>
        <v>12.68</v>
      </c>
      <c r="X42" s="68">
        <f t="shared" ref="X42:X44" si="56">Y42-W42</f>
        <v>5.5300000000000011</v>
      </c>
      <c r="Y42" s="68">
        <f t="shared" ref="Y42:Y44" si="57">TRUNC($G42*(1+$P42-$R$1),2)</f>
        <v>18.21</v>
      </c>
      <c r="Z42" s="68">
        <f t="shared" ref="Z42:Z44" si="58">TRUNC(W42*$F42,2)</f>
        <v>3711.81</v>
      </c>
      <c r="AA42" s="68">
        <f t="shared" ref="AA42:AA44" si="59">AB42-Z42</f>
        <v>1618.7999999999997</v>
      </c>
      <c r="AB42" s="68">
        <f t="shared" ref="AB42:AB44" si="60">TRUNC(Y42*$F42,2)</f>
        <v>5330.61</v>
      </c>
    </row>
    <row r="43" spans="1:28" ht="24" customHeight="1" x14ac:dyDescent="0.2">
      <c r="A43" s="82" t="s">
        <v>124</v>
      </c>
      <c r="B43" s="83" t="s">
        <v>125</v>
      </c>
      <c r="C43" s="82" t="s">
        <v>60</v>
      </c>
      <c r="D43" s="82" t="s">
        <v>126</v>
      </c>
      <c r="E43" s="84" t="s">
        <v>32</v>
      </c>
      <c r="F43" s="83">
        <v>199.4</v>
      </c>
      <c r="G43" s="85">
        <v>11.15</v>
      </c>
      <c r="H43" s="85">
        <v>7.83</v>
      </c>
      <c r="I43" s="85">
        <v>3.32</v>
      </c>
      <c r="J43" s="85">
        <f>TRUNC(G43 * (1 + 0 / 100), 2)</f>
        <v>11.15</v>
      </c>
      <c r="K43" s="85">
        <f>TRUNC(F43 * H43, 2)</f>
        <v>1561.3</v>
      </c>
      <c r="L43" s="85">
        <f>M43 - K43</f>
        <v>662.01</v>
      </c>
      <c r="M43" s="85">
        <f>TRUNC(F43 * J43, 2)</f>
        <v>2223.31</v>
      </c>
      <c r="N43" s="86">
        <f t="shared" si="0"/>
        <v>8.311763457719318E-4</v>
      </c>
      <c r="O43" s="71" t="s">
        <v>359</v>
      </c>
      <c r="P43" s="67">
        <f>IF(O43="BDI  PADRÃO",'BDI 2025'!$E$16,'BDI 2025'!$G$16)</f>
        <v>0.2049</v>
      </c>
      <c r="Q43" s="68">
        <f t="shared" si="49"/>
        <v>9.43</v>
      </c>
      <c r="R43" s="68">
        <f t="shared" si="50"/>
        <v>4</v>
      </c>
      <c r="S43" s="68">
        <f t="shared" si="51"/>
        <v>13.43</v>
      </c>
      <c r="T43" s="68">
        <f t="shared" si="52"/>
        <v>1880.34</v>
      </c>
      <c r="U43" s="68">
        <f t="shared" si="53"/>
        <v>797.60000000000014</v>
      </c>
      <c r="V43" s="68">
        <f t="shared" si="54"/>
        <v>2677.94</v>
      </c>
      <c r="W43" s="68">
        <f t="shared" si="55"/>
        <v>9.43</v>
      </c>
      <c r="X43" s="68">
        <f t="shared" si="56"/>
        <v>4</v>
      </c>
      <c r="Y43" s="68">
        <f t="shared" si="57"/>
        <v>13.43</v>
      </c>
      <c r="Z43" s="68">
        <f t="shared" si="58"/>
        <v>1880.34</v>
      </c>
      <c r="AA43" s="68">
        <f t="shared" si="59"/>
        <v>797.60000000000014</v>
      </c>
      <c r="AB43" s="68">
        <f t="shared" si="60"/>
        <v>2677.94</v>
      </c>
    </row>
    <row r="44" spans="1:28" ht="39" customHeight="1" x14ac:dyDescent="0.2">
      <c r="A44" s="82" t="s">
        <v>127</v>
      </c>
      <c r="B44" s="83" t="s">
        <v>128</v>
      </c>
      <c r="C44" s="82" t="s">
        <v>23</v>
      </c>
      <c r="D44" s="82" t="s">
        <v>129</v>
      </c>
      <c r="E44" s="84" t="s">
        <v>99</v>
      </c>
      <c r="F44" s="83">
        <v>5.0999999999999997E-2</v>
      </c>
      <c r="G44" s="85">
        <v>60.51</v>
      </c>
      <c r="H44" s="85">
        <v>10.07</v>
      </c>
      <c r="I44" s="85">
        <v>50.44</v>
      </c>
      <c r="J44" s="85">
        <f>TRUNC(G44 * (1 + 0 / 100), 2)</f>
        <v>60.51</v>
      </c>
      <c r="K44" s="85">
        <f>TRUNC(F44 * H44, 2)</f>
        <v>0.51</v>
      </c>
      <c r="L44" s="85">
        <f>M44 - K44</f>
        <v>2.5700000000000003</v>
      </c>
      <c r="M44" s="85">
        <f>TRUNC(F44 * J44, 2)</f>
        <v>3.08</v>
      </c>
      <c r="N44" s="86">
        <f t="shared" si="0"/>
        <v>1.151446782040089E-6</v>
      </c>
      <c r="O44" s="71" t="s">
        <v>359</v>
      </c>
      <c r="P44" s="67">
        <f>IF(O44="BDI  PADRÃO",'BDI 2025'!$E$16,'BDI 2025'!$G$16)</f>
        <v>0.2049</v>
      </c>
      <c r="Q44" s="68">
        <f t="shared" si="49"/>
        <v>12.13</v>
      </c>
      <c r="R44" s="68">
        <f t="shared" si="50"/>
        <v>60.77</v>
      </c>
      <c r="S44" s="68">
        <f t="shared" si="51"/>
        <v>72.900000000000006</v>
      </c>
      <c r="T44" s="68">
        <f t="shared" si="52"/>
        <v>0.61</v>
      </c>
      <c r="U44" s="68">
        <f t="shared" si="53"/>
        <v>3.1</v>
      </c>
      <c r="V44" s="68">
        <f t="shared" si="54"/>
        <v>3.71</v>
      </c>
      <c r="W44" s="68">
        <f t="shared" si="55"/>
        <v>12.13</v>
      </c>
      <c r="X44" s="68">
        <f t="shared" si="56"/>
        <v>60.77</v>
      </c>
      <c r="Y44" s="68">
        <f t="shared" si="57"/>
        <v>72.900000000000006</v>
      </c>
      <c r="Z44" s="68">
        <f t="shared" si="58"/>
        <v>0.61</v>
      </c>
      <c r="AA44" s="68">
        <f t="shared" si="59"/>
        <v>3.1</v>
      </c>
      <c r="AB44" s="68">
        <f t="shared" si="60"/>
        <v>3.71</v>
      </c>
    </row>
    <row r="45" spans="1:28" ht="24" customHeight="1" x14ac:dyDescent="0.2">
      <c r="A45" s="78" t="s">
        <v>130</v>
      </c>
      <c r="B45" s="78"/>
      <c r="C45" s="78"/>
      <c r="D45" s="78" t="s">
        <v>131</v>
      </c>
      <c r="E45" s="78"/>
      <c r="F45" s="79"/>
      <c r="G45" s="78"/>
      <c r="H45" s="78"/>
      <c r="I45" s="78"/>
      <c r="J45" s="78"/>
      <c r="K45" s="78"/>
      <c r="L45" s="78"/>
      <c r="M45" s="80">
        <v>2355578.12</v>
      </c>
      <c r="N45" s="81">
        <f t="shared" si="0"/>
        <v>0.88062430068767616</v>
      </c>
      <c r="O45" s="69"/>
      <c r="P45" s="69"/>
      <c r="Q45" s="69"/>
      <c r="R45" s="69"/>
      <c r="S45" s="69"/>
      <c r="T45" s="69"/>
      <c r="U45" s="69"/>
      <c r="V45" s="70">
        <f>SUM(V46,V82,V119)</f>
        <v>2831974.63</v>
      </c>
      <c r="W45" s="69"/>
      <c r="X45" s="69"/>
      <c r="Y45" s="69"/>
      <c r="Z45" s="69"/>
      <c r="AA45" s="69"/>
      <c r="AB45" s="70">
        <f>SUM(AB46,AB82,AB119)</f>
        <v>2831974.63</v>
      </c>
    </row>
    <row r="46" spans="1:28" ht="24" customHeight="1" x14ac:dyDescent="0.2">
      <c r="A46" s="78" t="s">
        <v>132</v>
      </c>
      <c r="B46" s="78"/>
      <c r="C46" s="78"/>
      <c r="D46" s="78" t="s">
        <v>36</v>
      </c>
      <c r="E46" s="78"/>
      <c r="F46" s="79"/>
      <c r="G46" s="78"/>
      <c r="H46" s="78"/>
      <c r="I46" s="78"/>
      <c r="J46" s="78"/>
      <c r="K46" s="78"/>
      <c r="L46" s="78"/>
      <c r="M46" s="80">
        <v>1798146.23</v>
      </c>
      <c r="N46" s="81">
        <f t="shared" si="0"/>
        <v>0.67223041888669399</v>
      </c>
      <c r="O46" s="69"/>
      <c r="P46" s="69"/>
      <c r="Q46" s="69"/>
      <c r="R46" s="69"/>
      <c r="S46" s="69"/>
      <c r="T46" s="69"/>
      <c r="U46" s="69"/>
      <c r="V46" s="70">
        <f>SUM(V47,V56,V62,V69)</f>
        <v>2166482.9499999997</v>
      </c>
      <c r="W46" s="69"/>
      <c r="X46" s="69"/>
      <c r="Y46" s="69"/>
      <c r="Z46" s="69"/>
      <c r="AA46" s="69"/>
      <c r="AB46" s="70">
        <f>SUM(AB47,AB56,AB62,AB69)</f>
        <v>2166482.9499999997</v>
      </c>
    </row>
    <row r="47" spans="1:28" ht="24" customHeight="1" x14ac:dyDescent="0.2">
      <c r="A47" s="78" t="s">
        <v>133</v>
      </c>
      <c r="B47" s="78"/>
      <c r="C47" s="78"/>
      <c r="D47" s="78" t="s">
        <v>38</v>
      </c>
      <c r="E47" s="78"/>
      <c r="F47" s="79"/>
      <c r="G47" s="78"/>
      <c r="H47" s="78"/>
      <c r="I47" s="78"/>
      <c r="J47" s="78"/>
      <c r="K47" s="78"/>
      <c r="L47" s="78"/>
      <c r="M47" s="80">
        <v>1175307.27</v>
      </c>
      <c r="N47" s="81">
        <f t="shared" si="0"/>
        <v>0.43938434219150063</v>
      </c>
      <c r="O47" s="69"/>
      <c r="P47" s="69"/>
      <c r="Q47" s="69"/>
      <c r="R47" s="69"/>
      <c r="S47" s="69"/>
      <c r="T47" s="69"/>
      <c r="U47" s="69"/>
      <c r="V47" s="70">
        <f>SUM(V48:V55)</f>
        <v>1416088.51</v>
      </c>
      <c r="W47" s="69"/>
      <c r="X47" s="69"/>
      <c r="Y47" s="69"/>
      <c r="Z47" s="69"/>
      <c r="AA47" s="69"/>
      <c r="AB47" s="70">
        <f>SUM(AB48:AB55)</f>
        <v>1416088.51</v>
      </c>
    </row>
    <row r="48" spans="1:28" ht="65.099999999999994" customHeight="1" x14ac:dyDescent="0.2">
      <c r="A48" s="82" t="s">
        <v>134</v>
      </c>
      <c r="B48" s="83" t="s">
        <v>135</v>
      </c>
      <c r="C48" s="82" t="s">
        <v>60</v>
      </c>
      <c r="D48" s="82" t="s">
        <v>136</v>
      </c>
      <c r="E48" s="84" t="s">
        <v>32</v>
      </c>
      <c r="F48" s="83">
        <v>3666.51</v>
      </c>
      <c r="G48" s="85">
        <v>238.09</v>
      </c>
      <c r="H48" s="85">
        <v>24.55</v>
      </c>
      <c r="I48" s="85">
        <v>213.54</v>
      </c>
      <c r="J48" s="85">
        <f t="shared" ref="J48:J55" si="61">TRUNC(G48 * (1 + 0 / 100), 2)</f>
        <v>238.09</v>
      </c>
      <c r="K48" s="85">
        <f t="shared" ref="K48:K55" si="62">TRUNC(F48 * H48, 2)</f>
        <v>90012.82</v>
      </c>
      <c r="L48" s="85">
        <f t="shared" ref="L48:L55" si="63">M48 - K48</f>
        <v>782946.54</v>
      </c>
      <c r="M48" s="85">
        <f t="shared" ref="M48:M55" si="64">TRUNC(F48 * J48, 2)</f>
        <v>872959.36</v>
      </c>
      <c r="N48" s="86">
        <f t="shared" si="0"/>
        <v>0.32635267724797906</v>
      </c>
      <c r="O48" s="71" t="s">
        <v>359</v>
      </c>
      <c r="P48" s="67">
        <f>IF(O48="BDI  PADRÃO",'BDI 2025'!$E$16,'BDI 2025'!$G$16)</f>
        <v>0.2049</v>
      </c>
      <c r="Q48" s="68">
        <f t="shared" ref="Q48:Q81" si="65">TRUNC($H48*(1+$P48),2)</f>
        <v>29.58</v>
      </c>
      <c r="R48" s="68">
        <f t="shared" ref="R48:R81" si="66">S48-Q48</f>
        <v>257.29000000000002</v>
      </c>
      <c r="S48" s="68">
        <f t="shared" ref="S48:S81" si="67">TRUNC($G48*(1+$P48),2)</f>
        <v>286.87</v>
      </c>
      <c r="T48" s="68">
        <f t="shared" ref="T48:T55" si="68">TRUNC(Q48*$F48,2)</f>
        <v>108455.36</v>
      </c>
      <c r="U48" s="68">
        <f t="shared" ref="U48:U81" si="69">V48-T48</f>
        <v>943356.36</v>
      </c>
      <c r="V48" s="68">
        <f t="shared" ref="V48:V55" si="70">TRUNC(S48*$F48,2)</f>
        <v>1051811.72</v>
      </c>
      <c r="W48" s="68">
        <f t="shared" ref="W48:W81" si="71">TRUNC($H48*(1+$P48-$R$1),2)</f>
        <v>29.58</v>
      </c>
      <c r="X48" s="68">
        <f t="shared" ref="X48:X81" si="72">Y48-W48</f>
        <v>257.29000000000002</v>
      </c>
      <c r="Y48" s="68">
        <f t="shared" ref="Y48:Y81" si="73">TRUNC($G48*(1+$P48-$R$1),2)</f>
        <v>286.87</v>
      </c>
      <c r="Z48" s="68">
        <f t="shared" ref="Z48:Z55" si="74">TRUNC(W48*$F48,2)</f>
        <v>108455.36</v>
      </c>
      <c r="AA48" s="68">
        <f t="shared" ref="AA48:AA81" si="75">AB48-Z48</f>
        <v>943356.36</v>
      </c>
      <c r="AB48" s="68">
        <f t="shared" ref="AB48:AB55" si="76">TRUNC(Y48*$F48,2)</f>
        <v>1051811.72</v>
      </c>
    </row>
    <row r="49" spans="1:28" ht="39" customHeight="1" x14ac:dyDescent="0.2">
      <c r="A49" s="82" t="s">
        <v>137</v>
      </c>
      <c r="B49" s="83" t="s">
        <v>138</v>
      </c>
      <c r="C49" s="82" t="s">
        <v>68</v>
      </c>
      <c r="D49" s="82" t="s">
        <v>139</v>
      </c>
      <c r="E49" s="84" t="s">
        <v>45</v>
      </c>
      <c r="F49" s="83">
        <v>2216.56</v>
      </c>
      <c r="G49" s="85">
        <v>62.21</v>
      </c>
      <c r="H49" s="85">
        <v>3.08</v>
      </c>
      <c r="I49" s="85">
        <v>59.13</v>
      </c>
      <c r="J49" s="85">
        <f t="shared" si="61"/>
        <v>62.21</v>
      </c>
      <c r="K49" s="85">
        <f t="shared" si="62"/>
        <v>6827</v>
      </c>
      <c r="L49" s="85">
        <f t="shared" si="63"/>
        <v>131065.19</v>
      </c>
      <c r="M49" s="85">
        <f t="shared" si="64"/>
        <v>137892.19</v>
      </c>
      <c r="N49" s="86">
        <f t="shared" si="0"/>
        <v>5.1550493001285891E-2</v>
      </c>
      <c r="O49" s="71" t="s">
        <v>359</v>
      </c>
      <c r="P49" s="67">
        <f>IF(O49="BDI  PADRÃO",'BDI 2025'!$E$16,'BDI 2025'!$G$16)</f>
        <v>0.2049</v>
      </c>
      <c r="Q49" s="68">
        <f t="shared" si="65"/>
        <v>3.71</v>
      </c>
      <c r="R49" s="68">
        <f t="shared" si="66"/>
        <v>71.240000000000009</v>
      </c>
      <c r="S49" s="68">
        <f t="shared" si="67"/>
        <v>74.95</v>
      </c>
      <c r="T49" s="68">
        <f t="shared" si="68"/>
        <v>8223.43</v>
      </c>
      <c r="U49" s="68">
        <f t="shared" si="69"/>
        <v>157907.74000000002</v>
      </c>
      <c r="V49" s="68">
        <f t="shared" si="70"/>
        <v>166131.17000000001</v>
      </c>
      <c r="W49" s="68">
        <f t="shared" si="71"/>
        <v>3.71</v>
      </c>
      <c r="X49" s="68">
        <f t="shared" si="72"/>
        <v>71.240000000000009</v>
      </c>
      <c r="Y49" s="68">
        <f t="shared" si="73"/>
        <v>74.95</v>
      </c>
      <c r="Z49" s="68">
        <f t="shared" si="74"/>
        <v>8223.43</v>
      </c>
      <c r="AA49" s="68">
        <f t="shared" si="75"/>
        <v>157907.74000000002</v>
      </c>
      <c r="AB49" s="68">
        <f t="shared" si="76"/>
        <v>166131.17000000001</v>
      </c>
    </row>
    <row r="50" spans="1:28" ht="26.1" customHeight="1" x14ac:dyDescent="0.2">
      <c r="A50" s="82" t="s">
        <v>140</v>
      </c>
      <c r="B50" s="83" t="s">
        <v>141</v>
      </c>
      <c r="C50" s="82" t="s">
        <v>23</v>
      </c>
      <c r="D50" s="82" t="s">
        <v>142</v>
      </c>
      <c r="E50" s="84" t="s">
        <v>32</v>
      </c>
      <c r="F50" s="83">
        <v>160.37</v>
      </c>
      <c r="G50" s="85">
        <v>479.5</v>
      </c>
      <c r="H50" s="85">
        <v>48.64</v>
      </c>
      <c r="I50" s="85">
        <v>430.86</v>
      </c>
      <c r="J50" s="85">
        <f t="shared" si="61"/>
        <v>479.5</v>
      </c>
      <c r="K50" s="85">
        <f t="shared" si="62"/>
        <v>7800.39</v>
      </c>
      <c r="L50" s="85">
        <f t="shared" si="63"/>
        <v>69097.02</v>
      </c>
      <c r="M50" s="85">
        <f t="shared" si="64"/>
        <v>76897.41</v>
      </c>
      <c r="N50" s="86">
        <f t="shared" si="0"/>
        <v>2.8747816653154987E-2</v>
      </c>
      <c r="O50" s="71" t="s">
        <v>359</v>
      </c>
      <c r="P50" s="67">
        <f>IF(O50="BDI  PADRÃO",'BDI 2025'!$E$16,'BDI 2025'!$G$16)</f>
        <v>0.2049</v>
      </c>
      <c r="Q50" s="68">
        <f t="shared" si="65"/>
        <v>58.6</v>
      </c>
      <c r="R50" s="68">
        <f t="shared" si="66"/>
        <v>519.14</v>
      </c>
      <c r="S50" s="68">
        <f t="shared" si="67"/>
        <v>577.74</v>
      </c>
      <c r="T50" s="68">
        <f t="shared" si="68"/>
        <v>9397.68</v>
      </c>
      <c r="U50" s="68">
        <f t="shared" si="69"/>
        <v>83254.48000000001</v>
      </c>
      <c r="V50" s="68">
        <f t="shared" si="70"/>
        <v>92652.160000000003</v>
      </c>
      <c r="W50" s="68">
        <f t="shared" si="71"/>
        <v>58.6</v>
      </c>
      <c r="X50" s="68">
        <f t="shared" si="72"/>
        <v>519.14</v>
      </c>
      <c r="Y50" s="68">
        <f t="shared" si="73"/>
        <v>577.74</v>
      </c>
      <c r="Z50" s="68">
        <f t="shared" si="74"/>
        <v>9397.68</v>
      </c>
      <c r="AA50" s="68">
        <f t="shared" si="75"/>
        <v>83254.48000000001</v>
      </c>
      <c r="AB50" s="68">
        <f t="shared" si="76"/>
        <v>92652.160000000003</v>
      </c>
    </row>
    <row r="51" spans="1:28" ht="24" customHeight="1" x14ac:dyDescent="0.2">
      <c r="A51" s="82" t="s">
        <v>143</v>
      </c>
      <c r="B51" s="83" t="s">
        <v>144</v>
      </c>
      <c r="C51" s="82" t="s">
        <v>23</v>
      </c>
      <c r="D51" s="82" t="s">
        <v>145</v>
      </c>
      <c r="E51" s="84" t="s">
        <v>45</v>
      </c>
      <c r="F51" s="83">
        <v>65.5</v>
      </c>
      <c r="G51" s="85">
        <v>88.55</v>
      </c>
      <c r="H51" s="85">
        <v>12.24</v>
      </c>
      <c r="I51" s="85">
        <v>76.31</v>
      </c>
      <c r="J51" s="85">
        <f t="shared" si="61"/>
        <v>88.55</v>
      </c>
      <c r="K51" s="85">
        <f t="shared" si="62"/>
        <v>801.72</v>
      </c>
      <c r="L51" s="85">
        <f t="shared" si="63"/>
        <v>4998.3</v>
      </c>
      <c r="M51" s="85">
        <f t="shared" si="64"/>
        <v>5800.02</v>
      </c>
      <c r="N51" s="86">
        <f t="shared" si="0"/>
        <v>2.1683163521974535E-3</v>
      </c>
      <c r="O51" s="71" t="s">
        <v>359</v>
      </c>
      <c r="P51" s="67">
        <f>IF(O51="BDI  PADRÃO",'BDI 2025'!$E$16,'BDI 2025'!$G$16)</f>
        <v>0.2049</v>
      </c>
      <c r="Q51" s="68">
        <f t="shared" si="65"/>
        <v>14.74</v>
      </c>
      <c r="R51" s="68">
        <f t="shared" si="66"/>
        <v>91.95</v>
      </c>
      <c r="S51" s="68">
        <f t="shared" si="67"/>
        <v>106.69</v>
      </c>
      <c r="T51" s="68">
        <f t="shared" si="68"/>
        <v>965.47</v>
      </c>
      <c r="U51" s="68">
        <f t="shared" si="69"/>
        <v>6022.7199999999993</v>
      </c>
      <c r="V51" s="68">
        <f t="shared" si="70"/>
        <v>6988.19</v>
      </c>
      <c r="W51" s="68">
        <f t="shared" si="71"/>
        <v>14.74</v>
      </c>
      <c r="X51" s="68">
        <f t="shared" si="72"/>
        <v>91.95</v>
      </c>
      <c r="Y51" s="68">
        <f t="shared" si="73"/>
        <v>106.69</v>
      </c>
      <c r="Z51" s="68">
        <f t="shared" si="74"/>
        <v>965.47</v>
      </c>
      <c r="AA51" s="68">
        <f t="shared" si="75"/>
        <v>6022.7199999999993</v>
      </c>
      <c r="AB51" s="68">
        <f t="shared" si="76"/>
        <v>6988.19</v>
      </c>
    </row>
    <row r="52" spans="1:28" ht="24" customHeight="1" x14ac:dyDescent="0.2">
      <c r="A52" s="82" t="s">
        <v>146</v>
      </c>
      <c r="B52" s="83" t="s">
        <v>147</v>
      </c>
      <c r="C52" s="82" t="s">
        <v>48</v>
      </c>
      <c r="D52" s="82" t="s">
        <v>148</v>
      </c>
      <c r="E52" s="84" t="s">
        <v>32</v>
      </c>
      <c r="F52" s="83">
        <v>44.51</v>
      </c>
      <c r="G52" s="85">
        <v>9.9600000000000009</v>
      </c>
      <c r="H52" s="85">
        <v>6.77</v>
      </c>
      <c r="I52" s="85">
        <v>3.19</v>
      </c>
      <c r="J52" s="85">
        <f t="shared" si="61"/>
        <v>9.9600000000000009</v>
      </c>
      <c r="K52" s="85">
        <f t="shared" si="62"/>
        <v>301.33</v>
      </c>
      <c r="L52" s="85">
        <f t="shared" si="63"/>
        <v>141.98000000000002</v>
      </c>
      <c r="M52" s="85">
        <f t="shared" si="64"/>
        <v>443.31</v>
      </c>
      <c r="N52" s="86">
        <f t="shared" si="0"/>
        <v>1.6572982887863371E-4</v>
      </c>
      <c r="O52" s="71" t="s">
        <v>359</v>
      </c>
      <c r="P52" s="67">
        <f>IF(O52="BDI  PADRÃO",'BDI 2025'!$E$16,'BDI 2025'!$G$16)</f>
        <v>0.2049</v>
      </c>
      <c r="Q52" s="68">
        <f t="shared" si="65"/>
        <v>8.15</v>
      </c>
      <c r="R52" s="68">
        <f t="shared" si="66"/>
        <v>3.8499999999999996</v>
      </c>
      <c r="S52" s="68">
        <f t="shared" si="67"/>
        <v>12</v>
      </c>
      <c r="T52" s="68">
        <f t="shared" si="68"/>
        <v>362.75</v>
      </c>
      <c r="U52" s="68">
        <f t="shared" si="69"/>
        <v>171.37</v>
      </c>
      <c r="V52" s="68">
        <f t="shared" si="70"/>
        <v>534.12</v>
      </c>
      <c r="W52" s="68">
        <f t="shared" si="71"/>
        <v>8.15</v>
      </c>
      <c r="X52" s="68">
        <f t="shared" si="72"/>
        <v>3.8499999999999996</v>
      </c>
      <c r="Y52" s="68">
        <f t="shared" si="73"/>
        <v>12</v>
      </c>
      <c r="Z52" s="68">
        <f t="shared" si="74"/>
        <v>362.75</v>
      </c>
      <c r="AA52" s="68">
        <f t="shared" si="75"/>
        <v>171.37</v>
      </c>
      <c r="AB52" s="68">
        <f t="shared" si="76"/>
        <v>534.12</v>
      </c>
    </row>
    <row r="53" spans="1:28" ht="26.1" customHeight="1" x14ac:dyDescent="0.2">
      <c r="A53" s="82" t="s">
        <v>149</v>
      </c>
      <c r="B53" s="83" t="s">
        <v>150</v>
      </c>
      <c r="C53" s="82" t="s">
        <v>23</v>
      </c>
      <c r="D53" s="82" t="s">
        <v>151</v>
      </c>
      <c r="E53" s="84" t="s">
        <v>32</v>
      </c>
      <c r="F53" s="83">
        <v>374.84</v>
      </c>
      <c r="G53" s="85">
        <v>56.05</v>
      </c>
      <c r="H53" s="85">
        <v>29.33</v>
      </c>
      <c r="I53" s="85">
        <v>26.72</v>
      </c>
      <c r="J53" s="85">
        <f t="shared" si="61"/>
        <v>56.05</v>
      </c>
      <c r="K53" s="85">
        <f t="shared" si="62"/>
        <v>10994.05</v>
      </c>
      <c r="L53" s="85">
        <f t="shared" si="63"/>
        <v>10015.73</v>
      </c>
      <c r="M53" s="85">
        <f t="shared" si="64"/>
        <v>21009.78</v>
      </c>
      <c r="N53" s="86">
        <f t="shared" si="0"/>
        <v>7.8544297312890324E-3</v>
      </c>
      <c r="O53" s="71" t="s">
        <v>359</v>
      </c>
      <c r="P53" s="67">
        <f>IF(O53="BDI  PADRÃO",'BDI 2025'!$E$16,'BDI 2025'!$G$16)</f>
        <v>0.2049</v>
      </c>
      <c r="Q53" s="68">
        <f t="shared" si="65"/>
        <v>35.33</v>
      </c>
      <c r="R53" s="68">
        <f t="shared" si="66"/>
        <v>32.200000000000003</v>
      </c>
      <c r="S53" s="68">
        <f t="shared" si="67"/>
        <v>67.53</v>
      </c>
      <c r="T53" s="68">
        <f t="shared" si="68"/>
        <v>13243.09</v>
      </c>
      <c r="U53" s="68">
        <f t="shared" si="69"/>
        <v>12069.849999999999</v>
      </c>
      <c r="V53" s="68">
        <f t="shared" si="70"/>
        <v>25312.94</v>
      </c>
      <c r="W53" s="68">
        <f t="shared" si="71"/>
        <v>35.33</v>
      </c>
      <c r="X53" s="68">
        <f t="shared" si="72"/>
        <v>32.200000000000003</v>
      </c>
      <c r="Y53" s="68">
        <f t="shared" si="73"/>
        <v>67.53</v>
      </c>
      <c r="Z53" s="68">
        <f t="shared" si="74"/>
        <v>13243.09</v>
      </c>
      <c r="AA53" s="68">
        <f t="shared" si="75"/>
        <v>12069.849999999999</v>
      </c>
      <c r="AB53" s="68">
        <f t="shared" si="76"/>
        <v>25312.94</v>
      </c>
    </row>
    <row r="54" spans="1:28" ht="26.1" customHeight="1" x14ac:dyDescent="0.2">
      <c r="A54" s="82" t="s">
        <v>152</v>
      </c>
      <c r="B54" s="83" t="s">
        <v>153</v>
      </c>
      <c r="C54" s="82" t="s">
        <v>23</v>
      </c>
      <c r="D54" s="82" t="s">
        <v>154</v>
      </c>
      <c r="E54" s="84" t="s">
        <v>32</v>
      </c>
      <c r="F54" s="83">
        <v>374.84</v>
      </c>
      <c r="G54" s="85">
        <v>5.92</v>
      </c>
      <c r="H54" s="85">
        <v>3.14</v>
      </c>
      <c r="I54" s="85">
        <v>2.78</v>
      </c>
      <c r="J54" s="85">
        <f t="shared" si="61"/>
        <v>5.92</v>
      </c>
      <c r="K54" s="85">
        <f t="shared" si="62"/>
        <v>1176.99</v>
      </c>
      <c r="L54" s="85">
        <f t="shared" si="63"/>
        <v>1042.0600000000002</v>
      </c>
      <c r="M54" s="85">
        <f t="shared" si="64"/>
        <v>2219.0500000000002</v>
      </c>
      <c r="N54" s="86">
        <f t="shared" si="0"/>
        <v>8.2958376028768172E-4</v>
      </c>
      <c r="O54" s="71" t="s">
        <v>359</v>
      </c>
      <c r="P54" s="67">
        <f>IF(O54="BDI  PADRÃO",'BDI 2025'!$E$16,'BDI 2025'!$G$16)</f>
        <v>0.2049</v>
      </c>
      <c r="Q54" s="68">
        <f t="shared" si="65"/>
        <v>3.78</v>
      </c>
      <c r="R54" s="68">
        <f t="shared" si="66"/>
        <v>3.35</v>
      </c>
      <c r="S54" s="68">
        <f t="shared" si="67"/>
        <v>7.13</v>
      </c>
      <c r="T54" s="68">
        <f t="shared" si="68"/>
        <v>1416.89</v>
      </c>
      <c r="U54" s="68">
        <f t="shared" si="69"/>
        <v>1255.7099999999998</v>
      </c>
      <c r="V54" s="68">
        <f t="shared" si="70"/>
        <v>2672.6</v>
      </c>
      <c r="W54" s="68">
        <f t="shared" si="71"/>
        <v>3.78</v>
      </c>
      <c r="X54" s="68">
        <f t="shared" si="72"/>
        <v>3.35</v>
      </c>
      <c r="Y54" s="68">
        <f t="shared" si="73"/>
        <v>7.13</v>
      </c>
      <c r="Z54" s="68">
        <f t="shared" si="74"/>
        <v>1416.89</v>
      </c>
      <c r="AA54" s="68">
        <f t="shared" si="75"/>
        <v>1255.7099999999998</v>
      </c>
      <c r="AB54" s="68">
        <f t="shared" si="76"/>
        <v>2672.6</v>
      </c>
    </row>
    <row r="55" spans="1:28" ht="26.1" customHeight="1" x14ac:dyDescent="0.2">
      <c r="A55" s="82" t="s">
        <v>155</v>
      </c>
      <c r="B55" s="83" t="s">
        <v>156</v>
      </c>
      <c r="C55" s="82" t="s">
        <v>23</v>
      </c>
      <c r="D55" s="82" t="s">
        <v>157</v>
      </c>
      <c r="E55" s="84" t="s">
        <v>32</v>
      </c>
      <c r="F55" s="83">
        <v>3813.93</v>
      </c>
      <c r="G55" s="85">
        <v>15.23</v>
      </c>
      <c r="H55" s="85">
        <v>7.7</v>
      </c>
      <c r="I55" s="85">
        <v>7.53</v>
      </c>
      <c r="J55" s="85">
        <f t="shared" si="61"/>
        <v>15.23</v>
      </c>
      <c r="K55" s="85">
        <f t="shared" si="62"/>
        <v>29367.26</v>
      </c>
      <c r="L55" s="85">
        <f t="shared" si="63"/>
        <v>28718.890000000003</v>
      </c>
      <c r="M55" s="85">
        <f t="shared" si="64"/>
        <v>58086.15</v>
      </c>
      <c r="N55" s="86">
        <f t="shared" si="0"/>
        <v>2.1715295616427894E-2</v>
      </c>
      <c r="O55" s="71" t="s">
        <v>359</v>
      </c>
      <c r="P55" s="67">
        <f>IF(O55="BDI  PADRÃO",'BDI 2025'!$E$16,'BDI 2025'!$G$16)</f>
        <v>0.2049</v>
      </c>
      <c r="Q55" s="68">
        <f t="shared" si="65"/>
        <v>9.27</v>
      </c>
      <c r="R55" s="68">
        <f t="shared" si="66"/>
        <v>9.0800000000000018</v>
      </c>
      <c r="S55" s="68">
        <f t="shared" si="67"/>
        <v>18.350000000000001</v>
      </c>
      <c r="T55" s="68">
        <f t="shared" si="68"/>
        <v>35355.129999999997</v>
      </c>
      <c r="U55" s="68">
        <f t="shared" si="69"/>
        <v>34630.480000000003</v>
      </c>
      <c r="V55" s="68">
        <f t="shared" si="70"/>
        <v>69985.61</v>
      </c>
      <c r="W55" s="68">
        <f t="shared" si="71"/>
        <v>9.27</v>
      </c>
      <c r="X55" s="68">
        <f t="shared" si="72"/>
        <v>9.0800000000000018</v>
      </c>
      <c r="Y55" s="68">
        <f t="shared" si="73"/>
        <v>18.350000000000001</v>
      </c>
      <c r="Z55" s="68">
        <f t="shared" si="74"/>
        <v>35355.129999999997</v>
      </c>
      <c r="AA55" s="68">
        <f t="shared" si="75"/>
        <v>34630.480000000003</v>
      </c>
      <c r="AB55" s="68">
        <f t="shared" si="76"/>
        <v>69985.61</v>
      </c>
    </row>
    <row r="56" spans="1:28" ht="24" customHeight="1" x14ac:dyDescent="0.2">
      <c r="A56" s="78" t="s">
        <v>158</v>
      </c>
      <c r="B56" s="78"/>
      <c r="C56" s="78"/>
      <c r="D56" s="78" t="s">
        <v>57</v>
      </c>
      <c r="E56" s="78"/>
      <c r="F56" s="79"/>
      <c r="G56" s="78"/>
      <c r="H56" s="78"/>
      <c r="I56" s="78"/>
      <c r="J56" s="78"/>
      <c r="K56" s="78"/>
      <c r="L56" s="78"/>
      <c r="M56" s="80">
        <v>444620.02</v>
      </c>
      <c r="N56" s="81">
        <f t="shared" si="0"/>
        <v>0.16621957508428573</v>
      </c>
      <c r="O56" s="69"/>
      <c r="P56" s="69"/>
      <c r="Q56" s="69"/>
      <c r="R56" s="69"/>
      <c r="S56" s="69"/>
      <c r="T56" s="69"/>
      <c r="U56" s="69"/>
      <c r="V56" s="70">
        <f>SUM(V57:V61)</f>
        <v>535663.62</v>
      </c>
      <c r="W56" s="69"/>
      <c r="X56" s="69"/>
      <c r="Y56" s="69"/>
      <c r="Z56" s="69"/>
      <c r="AA56" s="69"/>
      <c r="AB56" s="70">
        <f>SUM(AB57:AB61)</f>
        <v>535663.62</v>
      </c>
    </row>
    <row r="57" spans="1:28" ht="51.95" customHeight="1" x14ac:dyDescent="0.2">
      <c r="A57" s="82" t="s">
        <v>159</v>
      </c>
      <c r="B57" s="83" t="s">
        <v>160</v>
      </c>
      <c r="C57" s="82" t="s">
        <v>23</v>
      </c>
      <c r="D57" s="82" t="s">
        <v>161</v>
      </c>
      <c r="E57" s="84" t="s">
        <v>32</v>
      </c>
      <c r="F57" s="83">
        <v>996.48</v>
      </c>
      <c r="G57" s="85">
        <v>132.18</v>
      </c>
      <c r="H57" s="85">
        <v>23.01</v>
      </c>
      <c r="I57" s="85">
        <v>109.17</v>
      </c>
      <c r="J57" s="85">
        <f>TRUNC(G57 * (1 + 0 / 100), 2)</f>
        <v>132.18</v>
      </c>
      <c r="K57" s="85">
        <f>TRUNC(F57 * H57, 2)</f>
        <v>22929</v>
      </c>
      <c r="L57" s="85">
        <f>M57 - K57</f>
        <v>108785.72</v>
      </c>
      <c r="M57" s="85">
        <f>TRUNC(F57 * J57, 2)</f>
        <v>131714.72</v>
      </c>
      <c r="N57" s="86">
        <f t="shared" si="0"/>
        <v>4.9241068341334855E-2</v>
      </c>
      <c r="O57" s="71" t="s">
        <v>359</v>
      </c>
      <c r="P57" s="67">
        <f>IF(O57="BDI  PADRÃO",'BDI 2025'!$E$16,'BDI 2025'!$G$16)</f>
        <v>0.2049</v>
      </c>
      <c r="Q57" s="68">
        <f t="shared" si="65"/>
        <v>27.72</v>
      </c>
      <c r="R57" s="68">
        <f t="shared" si="66"/>
        <v>131.54</v>
      </c>
      <c r="S57" s="68">
        <f t="shared" si="67"/>
        <v>159.26</v>
      </c>
      <c r="T57" s="68">
        <f t="shared" ref="T57:T61" si="77">TRUNC(Q57*$F57,2)</f>
        <v>27622.42</v>
      </c>
      <c r="U57" s="68">
        <f t="shared" si="69"/>
        <v>131076.97999999998</v>
      </c>
      <c r="V57" s="68">
        <f t="shared" ref="V57:V61" si="78">TRUNC(S57*$F57,2)</f>
        <v>158699.4</v>
      </c>
      <c r="W57" s="68">
        <f t="shared" si="71"/>
        <v>27.72</v>
      </c>
      <c r="X57" s="68">
        <f t="shared" si="72"/>
        <v>131.54</v>
      </c>
      <c r="Y57" s="68">
        <f t="shared" si="73"/>
        <v>159.26</v>
      </c>
      <c r="Z57" s="68">
        <f t="shared" ref="Z57:Z61" si="79">TRUNC(W57*$F57,2)</f>
        <v>27622.42</v>
      </c>
      <c r="AA57" s="68">
        <f t="shared" si="75"/>
        <v>131076.97999999998</v>
      </c>
      <c r="AB57" s="68">
        <f t="shared" ref="AB57:AB61" si="80">TRUNC(Y57*$F57,2)</f>
        <v>158699.4</v>
      </c>
    </row>
    <row r="58" spans="1:28" ht="26.1" customHeight="1" x14ac:dyDescent="0.2">
      <c r="A58" s="82" t="s">
        <v>162</v>
      </c>
      <c r="B58" s="83" t="s">
        <v>163</v>
      </c>
      <c r="C58" s="82" t="s">
        <v>68</v>
      </c>
      <c r="D58" s="82" t="s">
        <v>164</v>
      </c>
      <c r="E58" s="84" t="s">
        <v>32</v>
      </c>
      <c r="F58" s="83">
        <v>799.65</v>
      </c>
      <c r="G58" s="85">
        <v>32.74</v>
      </c>
      <c r="H58" s="85">
        <v>1.97</v>
      </c>
      <c r="I58" s="85">
        <v>30.77</v>
      </c>
      <c r="J58" s="85">
        <f>TRUNC(G58 * (1 + 0 / 100), 2)</f>
        <v>32.74</v>
      </c>
      <c r="K58" s="85">
        <f>TRUNC(F58 * H58, 2)</f>
        <v>1575.31</v>
      </c>
      <c r="L58" s="85">
        <f>M58 - K58</f>
        <v>24605.23</v>
      </c>
      <c r="M58" s="85">
        <f>TRUNC(F58 * J58, 2)</f>
        <v>26180.54</v>
      </c>
      <c r="N58" s="86">
        <f t="shared" si="0"/>
        <v>9.7874995243739712E-3</v>
      </c>
      <c r="O58" s="71" t="s">
        <v>359</v>
      </c>
      <c r="P58" s="67">
        <f>IF(O58="BDI  PADRÃO",'BDI 2025'!$E$16,'BDI 2025'!$G$16)</f>
        <v>0.2049</v>
      </c>
      <c r="Q58" s="68">
        <f t="shared" si="65"/>
        <v>2.37</v>
      </c>
      <c r="R58" s="68">
        <f t="shared" si="66"/>
        <v>37.07</v>
      </c>
      <c r="S58" s="68">
        <f t="shared" si="67"/>
        <v>39.44</v>
      </c>
      <c r="T58" s="68">
        <f t="shared" si="77"/>
        <v>1895.17</v>
      </c>
      <c r="U58" s="68">
        <f t="shared" si="69"/>
        <v>29643.019999999997</v>
      </c>
      <c r="V58" s="68">
        <f t="shared" si="78"/>
        <v>31538.19</v>
      </c>
      <c r="W58" s="68">
        <f t="shared" si="71"/>
        <v>2.37</v>
      </c>
      <c r="X58" s="68">
        <f t="shared" si="72"/>
        <v>37.07</v>
      </c>
      <c r="Y58" s="68">
        <f t="shared" si="73"/>
        <v>39.44</v>
      </c>
      <c r="Z58" s="68">
        <f t="shared" si="79"/>
        <v>1895.17</v>
      </c>
      <c r="AA58" s="68">
        <f t="shared" si="75"/>
        <v>29643.019999999997</v>
      </c>
      <c r="AB58" s="68">
        <f t="shared" si="80"/>
        <v>31538.19</v>
      </c>
    </row>
    <row r="59" spans="1:28" ht="26.1" customHeight="1" x14ac:dyDescent="0.2">
      <c r="A59" s="82" t="s">
        <v>165</v>
      </c>
      <c r="B59" s="83" t="s">
        <v>166</v>
      </c>
      <c r="C59" s="82" t="s">
        <v>23</v>
      </c>
      <c r="D59" s="82" t="s">
        <v>167</v>
      </c>
      <c r="E59" s="84" t="s">
        <v>32</v>
      </c>
      <c r="F59" s="83">
        <v>679.39</v>
      </c>
      <c r="G59" s="85">
        <v>23.62</v>
      </c>
      <c r="H59" s="85">
        <v>12.24</v>
      </c>
      <c r="I59" s="85">
        <v>11.38</v>
      </c>
      <c r="J59" s="85">
        <f>TRUNC(G59 * (1 + 0 / 100), 2)</f>
        <v>23.62</v>
      </c>
      <c r="K59" s="85">
        <f>TRUNC(F59 * H59, 2)</f>
        <v>8315.73</v>
      </c>
      <c r="L59" s="85">
        <f>M59 - K59</f>
        <v>7731.4600000000009</v>
      </c>
      <c r="M59" s="85">
        <f>TRUNC(F59 * J59, 2)</f>
        <v>16047.19</v>
      </c>
      <c r="N59" s="86">
        <f t="shared" si="0"/>
        <v>5.999183534508408E-3</v>
      </c>
      <c r="O59" s="71" t="s">
        <v>359</v>
      </c>
      <c r="P59" s="67">
        <f>IF(O59="BDI  PADRÃO",'BDI 2025'!$E$16,'BDI 2025'!$G$16)</f>
        <v>0.2049</v>
      </c>
      <c r="Q59" s="68">
        <f t="shared" si="65"/>
        <v>14.74</v>
      </c>
      <c r="R59" s="68">
        <f t="shared" si="66"/>
        <v>13.709999999999999</v>
      </c>
      <c r="S59" s="68">
        <f t="shared" si="67"/>
        <v>28.45</v>
      </c>
      <c r="T59" s="68">
        <f t="shared" si="77"/>
        <v>10014.200000000001</v>
      </c>
      <c r="U59" s="68">
        <f t="shared" si="69"/>
        <v>9314.4399999999987</v>
      </c>
      <c r="V59" s="68">
        <f t="shared" si="78"/>
        <v>19328.64</v>
      </c>
      <c r="W59" s="68">
        <f t="shared" si="71"/>
        <v>14.74</v>
      </c>
      <c r="X59" s="68">
        <f t="shared" si="72"/>
        <v>13.709999999999999</v>
      </c>
      <c r="Y59" s="68">
        <f t="shared" si="73"/>
        <v>28.45</v>
      </c>
      <c r="Z59" s="68">
        <f t="shared" si="79"/>
        <v>10014.200000000001</v>
      </c>
      <c r="AA59" s="68">
        <f t="shared" si="75"/>
        <v>9314.4399999999987</v>
      </c>
      <c r="AB59" s="68">
        <f t="shared" si="80"/>
        <v>19328.64</v>
      </c>
    </row>
    <row r="60" spans="1:28" ht="26.1" customHeight="1" x14ac:dyDescent="0.2">
      <c r="A60" s="82" t="s">
        <v>168</v>
      </c>
      <c r="B60" s="83" t="s">
        <v>169</v>
      </c>
      <c r="C60" s="82" t="s">
        <v>23</v>
      </c>
      <c r="D60" s="82" t="s">
        <v>170</v>
      </c>
      <c r="E60" s="84" t="s">
        <v>32</v>
      </c>
      <c r="F60" s="83">
        <v>1599.3</v>
      </c>
      <c r="G60" s="85">
        <v>4.66</v>
      </c>
      <c r="H60" s="85">
        <v>2.25</v>
      </c>
      <c r="I60" s="85">
        <v>2.41</v>
      </c>
      <c r="J60" s="85">
        <f>TRUNC(G60 * (1 + 0 / 100), 2)</f>
        <v>4.66</v>
      </c>
      <c r="K60" s="85">
        <f>TRUNC(F60 * H60, 2)</f>
        <v>3598.42</v>
      </c>
      <c r="L60" s="85">
        <f>M60 - K60</f>
        <v>3854.3099999999995</v>
      </c>
      <c r="M60" s="85">
        <f>TRUNC(F60 * J60, 2)</f>
        <v>7452.73</v>
      </c>
      <c r="N60" s="86">
        <f t="shared" si="0"/>
        <v>2.7861759662057245E-3</v>
      </c>
      <c r="O60" s="71" t="s">
        <v>359</v>
      </c>
      <c r="P60" s="67">
        <f>IF(O60="BDI  PADRÃO",'BDI 2025'!$E$16,'BDI 2025'!$G$16)</f>
        <v>0.2049</v>
      </c>
      <c r="Q60" s="68">
        <f t="shared" si="65"/>
        <v>2.71</v>
      </c>
      <c r="R60" s="68">
        <f t="shared" si="66"/>
        <v>2.9000000000000004</v>
      </c>
      <c r="S60" s="68">
        <f t="shared" si="67"/>
        <v>5.61</v>
      </c>
      <c r="T60" s="68">
        <f t="shared" si="77"/>
        <v>4334.1000000000004</v>
      </c>
      <c r="U60" s="68">
        <f t="shared" si="69"/>
        <v>4637.9699999999993</v>
      </c>
      <c r="V60" s="68">
        <f t="shared" si="78"/>
        <v>8972.07</v>
      </c>
      <c r="W60" s="68">
        <f t="shared" si="71"/>
        <v>2.71</v>
      </c>
      <c r="X60" s="68">
        <f t="shared" si="72"/>
        <v>2.9000000000000004</v>
      </c>
      <c r="Y60" s="68">
        <f t="shared" si="73"/>
        <v>5.61</v>
      </c>
      <c r="Z60" s="68">
        <f t="shared" si="79"/>
        <v>4334.1000000000004</v>
      </c>
      <c r="AA60" s="68">
        <f t="shared" si="75"/>
        <v>4637.9699999999993</v>
      </c>
      <c r="AB60" s="68">
        <f t="shared" si="80"/>
        <v>8972.07</v>
      </c>
    </row>
    <row r="61" spans="1:28" ht="26.1" customHeight="1" x14ac:dyDescent="0.2">
      <c r="A61" s="82" t="s">
        <v>171</v>
      </c>
      <c r="B61" s="83" t="s">
        <v>172</v>
      </c>
      <c r="C61" s="82" t="s">
        <v>23</v>
      </c>
      <c r="D61" s="82" t="s">
        <v>173</v>
      </c>
      <c r="E61" s="84" t="s">
        <v>32</v>
      </c>
      <c r="F61" s="83">
        <v>21646.78</v>
      </c>
      <c r="G61" s="85">
        <v>12.16</v>
      </c>
      <c r="H61" s="85">
        <v>5.53</v>
      </c>
      <c r="I61" s="85">
        <v>6.63</v>
      </c>
      <c r="J61" s="85">
        <f>TRUNC(G61 * (1 + 0 / 100), 2)</f>
        <v>12.16</v>
      </c>
      <c r="K61" s="85">
        <f>TRUNC(F61 * H61, 2)</f>
        <v>119706.69</v>
      </c>
      <c r="L61" s="85">
        <f>M61 - K61</f>
        <v>143518.15000000002</v>
      </c>
      <c r="M61" s="85">
        <f>TRUNC(F61 * J61, 2)</f>
        <v>263224.84000000003</v>
      </c>
      <c r="N61" s="86">
        <f t="shared" si="0"/>
        <v>9.8405647717862768E-2</v>
      </c>
      <c r="O61" s="71" t="s">
        <v>359</v>
      </c>
      <c r="P61" s="67">
        <f>IF(O61="BDI  PADRÃO",'BDI 2025'!$E$16,'BDI 2025'!$G$16)</f>
        <v>0.2049</v>
      </c>
      <c r="Q61" s="68">
        <f t="shared" si="65"/>
        <v>6.66</v>
      </c>
      <c r="R61" s="68">
        <f t="shared" si="66"/>
        <v>7.99</v>
      </c>
      <c r="S61" s="68">
        <f t="shared" si="67"/>
        <v>14.65</v>
      </c>
      <c r="T61" s="68">
        <f t="shared" si="77"/>
        <v>144167.54999999999</v>
      </c>
      <c r="U61" s="68">
        <f t="shared" si="69"/>
        <v>172957.77000000002</v>
      </c>
      <c r="V61" s="68">
        <f t="shared" si="78"/>
        <v>317125.32</v>
      </c>
      <c r="W61" s="68">
        <f t="shared" si="71"/>
        <v>6.66</v>
      </c>
      <c r="X61" s="68">
        <f t="shared" si="72"/>
        <v>7.99</v>
      </c>
      <c r="Y61" s="68">
        <f t="shared" si="73"/>
        <v>14.65</v>
      </c>
      <c r="Z61" s="68">
        <f t="shared" si="79"/>
        <v>144167.54999999999</v>
      </c>
      <c r="AA61" s="68">
        <f t="shared" si="75"/>
        <v>172957.77000000002</v>
      </c>
      <c r="AB61" s="68">
        <f t="shared" si="80"/>
        <v>317125.32</v>
      </c>
    </row>
    <row r="62" spans="1:28" ht="24" customHeight="1" x14ac:dyDescent="0.2">
      <c r="A62" s="78" t="s">
        <v>174</v>
      </c>
      <c r="B62" s="78"/>
      <c r="C62" s="78"/>
      <c r="D62" s="78" t="s">
        <v>74</v>
      </c>
      <c r="E62" s="78"/>
      <c r="F62" s="79"/>
      <c r="G62" s="78"/>
      <c r="H62" s="78"/>
      <c r="I62" s="78"/>
      <c r="J62" s="78"/>
      <c r="K62" s="78"/>
      <c r="L62" s="78"/>
      <c r="M62" s="80">
        <v>161956.79999999999</v>
      </c>
      <c r="N62" s="81">
        <f t="shared" si="0"/>
        <v>6.0546959801789049E-2</v>
      </c>
      <c r="O62" s="69"/>
      <c r="P62" s="69"/>
      <c r="Q62" s="69"/>
      <c r="R62" s="69"/>
      <c r="S62" s="69"/>
      <c r="T62" s="69"/>
      <c r="U62" s="69"/>
      <c r="V62" s="70">
        <f>SUM(V63:V68)</f>
        <v>195137.08999999997</v>
      </c>
      <c r="W62" s="69"/>
      <c r="X62" s="69"/>
      <c r="Y62" s="69"/>
      <c r="Z62" s="69"/>
      <c r="AA62" s="69"/>
      <c r="AB62" s="70">
        <f>SUM(AB63:AB68)</f>
        <v>195137.08999999997</v>
      </c>
    </row>
    <row r="63" spans="1:28" ht="65.099999999999994" customHeight="1" x14ac:dyDescent="0.2">
      <c r="A63" s="82" t="s">
        <v>175</v>
      </c>
      <c r="B63" s="83" t="s">
        <v>176</v>
      </c>
      <c r="C63" s="82" t="s">
        <v>23</v>
      </c>
      <c r="D63" s="82" t="s">
        <v>177</v>
      </c>
      <c r="E63" s="84" t="s">
        <v>65</v>
      </c>
      <c r="F63" s="83">
        <v>25</v>
      </c>
      <c r="G63" s="85">
        <v>1306.8900000000001</v>
      </c>
      <c r="H63" s="85">
        <v>286.44</v>
      </c>
      <c r="I63" s="85">
        <v>1020.45</v>
      </c>
      <c r="J63" s="85">
        <f t="shared" ref="J63:J68" si="81">TRUNC(G63 * (1 + 0 / 100), 2)</f>
        <v>1306.8900000000001</v>
      </c>
      <c r="K63" s="85">
        <f t="shared" ref="K63:K68" si="82">TRUNC(F63 * H63, 2)</f>
        <v>7161</v>
      </c>
      <c r="L63" s="85">
        <f t="shared" ref="L63:L68" si="83">M63 - K63</f>
        <v>25511.25</v>
      </c>
      <c r="M63" s="85">
        <f t="shared" ref="M63:M68" si="84">TRUNC(F63 * J63, 2)</f>
        <v>32672.25</v>
      </c>
      <c r="N63" s="86">
        <f t="shared" si="0"/>
        <v>1.221440166380172E-2</v>
      </c>
      <c r="O63" s="71" t="s">
        <v>359</v>
      </c>
      <c r="P63" s="67">
        <f>IF(O63="BDI  PADRÃO",'BDI 2025'!$E$16,'BDI 2025'!$G$16)</f>
        <v>0.2049</v>
      </c>
      <c r="Q63" s="68">
        <f t="shared" si="65"/>
        <v>345.13</v>
      </c>
      <c r="R63" s="68">
        <f t="shared" si="66"/>
        <v>1229.54</v>
      </c>
      <c r="S63" s="68">
        <f t="shared" si="67"/>
        <v>1574.67</v>
      </c>
      <c r="T63" s="68">
        <f t="shared" ref="T63:T68" si="85">TRUNC(Q63*$F63,2)</f>
        <v>8628.25</v>
      </c>
      <c r="U63" s="68">
        <f t="shared" si="69"/>
        <v>30738.5</v>
      </c>
      <c r="V63" s="68">
        <f t="shared" ref="V63:V68" si="86">TRUNC(S63*$F63,2)</f>
        <v>39366.75</v>
      </c>
      <c r="W63" s="68">
        <f t="shared" si="71"/>
        <v>345.13</v>
      </c>
      <c r="X63" s="68">
        <f t="shared" si="72"/>
        <v>1229.54</v>
      </c>
      <c r="Y63" s="68">
        <f t="shared" si="73"/>
        <v>1574.67</v>
      </c>
      <c r="Z63" s="68">
        <f t="shared" ref="Z63:Z68" si="87">TRUNC(W63*$F63,2)</f>
        <v>8628.25</v>
      </c>
      <c r="AA63" s="68">
        <f t="shared" si="75"/>
        <v>30738.5</v>
      </c>
      <c r="AB63" s="68">
        <f t="shared" ref="AB63:AB68" si="88">TRUNC(Y63*$F63,2)</f>
        <v>39366.75</v>
      </c>
    </row>
    <row r="64" spans="1:28" ht="39" customHeight="1" x14ac:dyDescent="0.2">
      <c r="A64" s="82" t="s">
        <v>178</v>
      </c>
      <c r="B64" s="83" t="s">
        <v>179</v>
      </c>
      <c r="C64" s="82" t="s">
        <v>23</v>
      </c>
      <c r="D64" s="82" t="s">
        <v>180</v>
      </c>
      <c r="E64" s="84" t="s">
        <v>32</v>
      </c>
      <c r="F64" s="83">
        <v>558.04</v>
      </c>
      <c r="G64" s="85">
        <v>31.02</v>
      </c>
      <c r="H64" s="85">
        <v>15.66</v>
      </c>
      <c r="I64" s="85">
        <v>15.36</v>
      </c>
      <c r="J64" s="85">
        <f t="shared" si="81"/>
        <v>31.02</v>
      </c>
      <c r="K64" s="85">
        <f t="shared" si="82"/>
        <v>8738.9</v>
      </c>
      <c r="L64" s="85">
        <f t="shared" si="83"/>
        <v>8571.5000000000018</v>
      </c>
      <c r="M64" s="85">
        <f t="shared" si="84"/>
        <v>17310.400000000001</v>
      </c>
      <c r="N64" s="86">
        <f t="shared" si="0"/>
        <v>6.4714299921515448E-3</v>
      </c>
      <c r="O64" s="71" t="s">
        <v>359</v>
      </c>
      <c r="P64" s="67">
        <f>IF(O64="BDI  PADRÃO",'BDI 2025'!$E$16,'BDI 2025'!$G$16)</f>
        <v>0.2049</v>
      </c>
      <c r="Q64" s="68">
        <f t="shared" si="65"/>
        <v>18.86</v>
      </c>
      <c r="R64" s="68">
        <f t="shared" si="66"/>
        <v>18.509999999999998</v>
      </c>
      <c r="S64" s="68">
        <f t="shared" si="67"/>
        <v>37.369999999999997</v>
      </c>
      <c r="T64" s="68">
        <f t="shared" si="85"/>
        <v>10524.63</v>
      </c>
      <c r="U64" s="68">
        <f t="shared" si="69"/>
        <v>10329.320000000002</v>
      </c>
      <c r="V64" s="68">
        <f t="shared" si="86"/>
        <v>20853.95</v>
      </c>
      <c r="W64" s="68">
        <f t="shared" si="71"/>
        <v>18.86</v>
      </c>
      <c r="X64" s="68">
        <f t="shared" si="72"/>
        <v>18.509999999999998</v>
      </c>
      <c r="Y64" s="68">
        <f t="shared" si="73"/>
        <v>37.369999999999997</v>
      </c>
      <c r="Z64" s="68">
        <f t="shared" si="87"/>
        <v>10524.63</v>
      </c>
      <c r="AA64" s="68">
        <f t="shared" si="75"/>
        <v>10329.320000000002</v>
      </c>
      <c r="AB64" s="68">
        <f t="shared" si="88"/>
        <v>20853.95</v>
      </c>
    </row>
    <row r="65" spans="1:28" ht="24" customHeight="1" x14ac:dyDescent="0.2">
      <c r="A65" s="82" t="s">
        <v>181</v>
      </c>
      <c r="B65" s="83" t="s">
        <v>182</v>
      </c>
      <c r="C65" s="82" t="s">
        <v>60</v>
      </c>
      <c r="D65" s="82" t="s">
        <v>183</v>
      </c>
      <c r="E65" s="84" t="s">
        <v>32</v>
      </c>
      <c r="F65" s="83">
        <v>152.86000000000001</v>
      </c>
      <c r="G65" s="85">
        <v>398.81</v>
      </c>
      <c r="H65" s="85">
        <v>57.14</v>
      </c>
      <c r="I65" s="85">
        <v>341.67</v>
      </c>
      <c r="J65" s="85">
        <f t="shared" si="81"/>
        <v>398.81</v>
      </c>
      <c r="K65" s="85">
        <f t="shared" si="82"/>
        <v>8734.42</v>
      </c>
      <c r="L65" s="85">
        <f t="shared" si="83"/>
        <v>52227.67</v>
      </c>
      <c r="M65" s="85">
        <f t="shared" si="84"/>
        <v>60962.09</v>
      </c>
      <c r="N65" s="86">
        <f t="shared" si="0"/>
        <v>2.2790455310694246E-2</v>
      </c>
      <c r="O65" s="71" t="s">
        <v>359</v>
      </c>
      <c r="P65" s="67">
        <f>IF(O65="BDI  PADRÃO",'BDI 2025'!$E$16,'BDI 2025'!$G$16)</f>
        <v>0.2049</v>
      </c>
      <c r="Q65" s="68">
        <f t="shared" si="65"/>
        <v>68.84</v>
      </c>
      <c r="R65" s="68">
        <f t="shared" si="66"/>
        <v>411.67999999999995</v>
      </c>
      <c r="S65" s="68">
        <f t="shared" si="67"/>
        <v>480.52</v>
      </c>
      <c r="T65" s="68">
        <f t="shared" si="85"/>
        <v>10522.88</v>
      </c>
      <c r="U65" s="68">
        <f t="shared" si="69"/>
        <v>62929.4</v>
      </c>
      <c r="V65" s="68">
        <f t="shared" si="86"/>
        <v>73452.28</v>
      </c>
      <c r="W65" s="68">
        <f t="shared" si="71"/>
        <v>68.84</v>
      </c>
      <c r="X65" s="68">
        <f t="shared" si="72"/>
        <v>411.67999999999995</v>
      </c>
      <c r="Y65" s="68">
        <f t="shared" si="73"/>
        <v>480.52</v>
      </c>
      <c r="Z65" s="68">
        <f t="shared" si="87"/>
        <v>10522.88</v>
      </c>
      <c r="AA65" s="68">
        <f t="shared" si="75"/>
        <v>62929.4</v>
      </c>
      <c r="AB65" s="68">
        <f t="shared" si="88"/>
        <v>73452.28</v>
      </c>
    </row>
    <row r="66" spans="1:28" ht="39" customHeight="1" x14ac:dyDescent="0.2">
      <c r="A66" s="82" t="s">
        <v>184</v>
      </c>
      <c r="B66" s="83" t="s">
        <v>185</v>
      </c>
      <c r="C66" s="82" t="s">
        <v>23</v>
      </c>
      <c r="D66" s="82" t="s">
        <v>186</v>
      </c>
      <c r="E66" s="84" t="s">
        <v>32</v>
      </c>
      <c r="F66" s="83">
        <v>113.24</v>
      </c>
      <c r="G66" s="85">
        <v>304.16000000000003</v>
      </c>
      <c r="H66" s="85">
        <v>29.35</v>
      </c>
      <c r="I66" s="85">
        <v>274.81</v>
      </c>
      <c r="J66" s="85">
        <f t="shared" si="81"/>
        <v>304.16000000000003</v>
      </c>
      <c r="K66" s="85">
        <f t="shared" si="82"/>
        <v>3323.59</v>
      </c>
      <c r="L66" s="85">
        <f t="shared" si="83"/>
        <v>31119.48</v>
      </c>
      <c r="M66" s="85">
        <f t="shared" si="84"/>
        <v>34443.07</v>
      </c>
      <c r="N66" s="86">
        <f t="shared" si="0"/>
        <v>1.2876416271130365E-2</v>
      </c>
      <c r="O66" s="71" t="s">
        <v>359</v>
      </c>
      <c r="P66" s="67">
        <f>IF(O66="BDI  PADRÃO",'BDI 2025'!$E$16,'BDI 2025'!$G$16)</f>
        <v>0.2049</v>
      </c>
      <c r="Q66" s="68">
        <f t="shared" si="65"/>
        <v>35.36</v>
      </c>
      <c r="R66" s="68">
        <f t="shared" si="66"/>
        <v>331.12</v>
      </c>
      <c r="S66" s="68">
        <f t="shared" si="67"/>
        <v>366.48</v>
      </c>
      <c r="T66" s="68">
        <f t="shared" si="85"/>
        <v>4004.16</v>
      </c>
      <c r="U66" s="68">
        <f t="shared" si="69"/>
        <v>37496.03</v>
      </c>
      <c r="V66" s="68">
        <f t="shared" si="86"/>
        <v>41500.19</v>
      </c>
      <c r="W66" s="68">
        <f t="shared" si="71"/>
        <v>35.36</v>
      </c>
      <c r="X66" s="68">
        <f t="shared" si="72"/>
        <v>331.12</v>
      </c>
      <c r="Y66" s="68">
        <f t="shared" si="73"/>
        <v>366.48</v>
      </c>
      <c r="Z66" s="68">
        <f t="shared" si="87"/>
        <v>4004.16</v>
      </c>
      <c r="AA66" s="68">
        <f t="shared" si="75"/>
        <v>37496.03</v>
      </c>
      <c r="AB66" s="68">
        <f t="shared" si="88"/>
        <v>41500.19</v>
      </c>
    </row>
    <row r="67" spans="1:28" ht="51.95" customHeight="1" x14ac:dyDescent="0.2">
      <c r="A67" s="82" t="s">
        <v>187</v>
      </c>
      <c r="B67" s="83" t="s">
        <v>188</v>
      </c>
      <c r="C67" s="82" t="s">
        <v>60</v>
      </c>
      <c r="D67" s="82" t="s">
        <v>189</v>
      </c>
      <c r="E67" s="84" t="s">
        <v>32</v>
      </c>
      <c r="F67" s="83">
        <v>79.260000000000005</v>
      </c>
      <c r="G67" s="85">
        <v>33.630000000000003</v>
      </c>
      <c r="H67" s="85">
        <v>11.15</v>
      </c>
      <c r="I67" s="85">
        <v>22.48</v>
      </c>
      <c r="J67" s="85">
        <f t="shared" si="81"/>
        <v>33.630000000000003</v>
      </c>
      <c r="K67" s="85">
        <f t="shared" si="82"/>
        <v>883.74</v>
      </c>
      <c r="L67" s="85">
        <f t="shared" si="83"/>
        <v>1781.7700000000002</v>
      </c>
      <c r="M67" s="85">
        <f t="shared" si="84"/>
        <v>2665.51</v>
      </c>
      <c r="N67" s="86">
        <f t="shared" si="0"/>
        <v>9.9649120519340194E-4</v>
      </c>
      <c r="O67" s="71" t="s">
        <v>359</v>
      </c>
      <c r="P67" s="67">
        <f>IF(O67="BDI  PADRÃO",'BDI 2025'!$E$16,'BDI 2025'!$G$16)</f>
        <v>0.2049</v>
      </c>
      <c r="Q67" s="68">
        <f t="shared" si="65"/>
        <v>13.43</v>
      </c>
      <c r="R67" s="68">
        <f t="shared" si="66"/>
        <v>27.090000000000003</v>
      </c>
      <c r="S67" s="68">
        <f t="shared" si="67"/>
        <v>40.520000000000003</v>
      </c>
      <c r="T67" s="68">
        <f t="shared" si="85"/>
        <v>1064.46</v>
      </c>
      <c r="U67" s="68">
        <f t="shared" si="69"/>
        <v>2147.15</v>
      </c>
      <c r="V67" s="68">
        <f t="shared" si="86"/>
        <v>3211.61</v>
      </c>
      <c r="W67" s="68">
        <f t="shared" si="71"/>
        <v>13.43</v>
      </c>
      <c r="X67" s="68">
        <f t="shared" si="72"/>
        <v>27.090000000000003</v>
      </c>
      <c r="Y67" s="68">
        <f t="shared" si="73"/>
        <v>40.520000000000003</v>
      </c>
      <c r="Z67" s="68">
        <f t="shared" si="87"/>
        <v>1064.46</v>
      </c>
      <c r="AA67" s="68">
        <f t="shared" si="75"/>
        <v>2147.15</v>
      </c>
      <c r="AB67" s="68">
        <f t="shared" si="88"/>
        <v>3211.61</v>
      </c>
    </row>
    <row r="68" spans="1:28" ht="24" customHeight="1" x14ac:dyDescent="0.2">
      <c r="A68" s="82" t="s">
        <v>190</v>
      </c>
      <c r="B68" s="83" t="s">
        <v>191</v>
      </c>
      <c r="C68" s="82" t="s">
        <v>60</v>
      </c>
      <c r="D68" s="82" t="s">
        <v>192</v>
      </c>
      <c r="E68" s="84" t="s">
        <v>193</v>
      </c>
      <c r="F68" s="83">
        <v>41.95</v>
      </c>
      <c r="G68" s="85">
        <v>331.43</v>
      </c>
      <c r="H68" s="85">
        <v>47.15</v>
      </c>
      <c r="I68" s="85">
        <v>284.27999999999997</v>
      </c>
      <c r="J68" s="85">
        <f t="shared" si="81"/>
        <v>331.43</v>
      </c>
      <c r="K68" s="85">
        <f t="shared" si="82"/>
        <v>1977.94</v>
      </c>
      <c r="L68" s="85">
        <f t="shared" si="83"/>
        <v>11925.539999999999</v>
      </c>
      <c r="M68" s="85">
        <f t="shared" si="84"/>
        <v>13903.48</v>
      </c>
      <c r="N68" s="86">
        <f t="shared" si="0"/>
        <v>5.1977653588177715E-3</v>
      </c>
      <c r="O68" s="71" t="s">
        <v>359</v>
      </c>
      <c r="P68" s="67">
        <f>IF(O68="BDI  PADRÃO",'BDI 2025'!$E$16,'BDI 2025'!$G$16)</f>
        <v>0.2049</v>
      </c>
      <c r="Q68" s="68">
        <f t="shared" si="65"/>
        <v>56.81</v>
      </c>
      <c r="R68" s="68">
        <f t="shared" si="66"/>
        <v>342.53</v>
      </c>
      <c r="S68" s="68">
        <f t="shared" si="67"/>
        <v>399.34</v>
      </c>
      <c r="T68" s="68">
        <f t="shared" si="85"/>
        <v>2383.17</v>
      </c>
      <c r="U68" s="68">
        <f t="shared" si="69"/>
        <v>14369.140000000001</v>
      </c>
      <c r="V68" s="68">
        <f t="shared" si="86"/>
        <v>16752.310000000001</v>
      </c>
      <c r="W68" s="68">
        <f t="shared" si="71"/>
        <v>56.81</v>
      </c>
      <c r="X68" s="68">
        <f t="shared" si="72"/>
        <v>342.53</v>
      </c>
      <c r="Y68" s="68">
        <f t="shared" si="73"/>
        <v>399.34</v>
      </c>
      <c r="Z68" s="68">
        <f t="shared" si="87"/>
        <v>2383.17</v>
      </c>
      <c r="AA68" s="68">
        <f t="shared" si="75"/>
        <v>14369.140000000001</v>
      </c>
      <c r="AB68" s="68">
        <f t="shared" si="88"/>
        <v>16752.310000000001</v>
      </c>
    </row>
    <row r="69" spans="1:28" ht="24" customHeight="1" x14ac:dyDescent="0.2">
      <c r="A69" s="78" t="s">
        <v>194</v>
      </c>
      <c r="B69" s="78"/>
      <c r="C69" s="78"/>
      <c r="D69" s="78" t="s">
        <v>85</v>
      </c>
      <c r="E69" s="78"/>
      <c r="F69" s="79"/>
      <c r="G69" s="78"/>
      <c r="H69" s="78"/>
      <c r="I69" s="78"/>
      <c r="J69" s="78"/>
      <c r="K69" s="78"/>
      <c r="L69" s="78"/>
      <c r="M69" s="80">
        <v>16262.14</v>
      </c>
      <c r="N69" s="81">
        <f t="shared" si="0"/>
        <v>6.0795418091186401E-3</v>
      </c>
      <c r="O69" s="69"/>
      <c r="P69" s="69"/>
      <c r="Q69" s="69"/>
      <c r="R69" s="69"/>
      <c r="S69" s="69"/>
      <c r="T69" s="69"/>
      <c r="U69" s="69"/>
      <c r="V69" s="70">
        <f>SUM(V70:V81)</f>
        <v>19593.729999999996</v>
      </c>
      <c r="W69" s="69"/>
      <c r="X69" s="69"/>
      <c r="Y69" s="69"/>
      <c r="Z69" s="69"/>
      <c r="AA69" s="69"/>
      <c r="AB69" s="70">
        <f>SUM(AB70:AB81)</f>
        <v>19593.729999999996</v>
      </c>
    </row>
    <row r="70" spans="1:28" ht="24" customHeight="1" x14ac:dyDescent="0.2">
      <c r="A70" s="82" t="s">
        <v>195</v>
      </c>
      <c r="B70" s="83" t="s">
        <v>196</v>
      </c>
      <c r="C70" s="82" t="s">
        <v>48</v>
      </c>
      <c r="D70" s="82" t="s">
        <v>197</v>
      </c>
      <c r="E70" s="84" t="s">
        <v>32</v>
      </c>
      <c r="F70" s="83">
        <v>43.58</v>
      </c>
      <c r="G70" s="85">
        <v>123.81</v>
      </c>
      <c r="H70" s="85">
        <v>36.5</v>
      </c>
      <c r="I70" s="85">
        <v>87.31</v>
      </c>
      <c r="J70" s="85">
        <f t="shared" ref="J70:J81" si="89">TRUNC(G70 * (1 + 0 / 100), 2)</f>
        <v>123.81</v>
      </c>
      <c r="K70" s="85">
        <f t="shared" ref="K70:K81" si="90">TRUNC(F70 * H70, 2)</f>
        <v>1590.67</v>
      </c>
      <c r="L70" s="85">
        <f t="shared" ref="L70:L81" si="91">M70 - K70</f>
        <v>3804.96</v>
      </c>
      <c r="M70" s="85">
        <f t="shared" ref="M70:M81" si="92">TRUNC(F70 * J70, 2)</f>
        <v>5395.63</v>
      </c>
      <c r="N70" s="86">
        <f t="shared" ref="N70:N125" si="93">M70 / 2674895.66</f>
        <v>2.0171366235645989E-3</v>
      </c>
      <c r="O70" s="71" t="s">
        <v>359</v>
      </c>
      <c r="P70" s="67">
        <f>IF(O70="BDI  PADRÃO",'BDI 2025'!$E$16,'BDI 2025'!$G$16)</f>
        <v>0.2049</v>
      </c>
      <c r="Q70" s="68">
        <f t="shared" si="65"/>
        <v>43.97</v>
      </c>
      <c r="R70" s="68">
        <f t="shared" si="66"/>
        <v>105.19999999999999</v>
      </c>
      <c r="S70" s="68">
        <f t="shared" si="67"/>
        <v>149.16999999999999</v>
      </c>
      <c r="T70" s="68">
        <f t="shared" ref="T70:T81" si="94">TRUNC(Q70*$F70,2)</f>
        <v>1916.21</v>
      </c>
      <c r="U70" s="68">
        <f t="shared" si="69"/>
        <v>4584.6099999999997</v>
      </c>
      <c r="V70" s="68">
        <f t="shared" ref="V70:V81" si="95">TRUNC(S70*$F70,2)</f>
        <v>6500.82</v>
      </c>
      <c r="W70" s="68">
        <f t="shared" si="71"/>
        <v>43.97</v>
      </c>
      <c r="X70" s="68">
        <f t="shared" si="72"/>
        <v>105.19999999999999</v>
      </c>
      <c r="Y70" s="68">
        <f t="shared" si="73"/>
        <v>149.16999999999999</v>
      </c>
      <c r="Z70" s="68">
        <f t="shared" ref="Z70:Z81" si="96">TRUNC(W70*$F70,2)</f>
        <v>1916.21</v>
      </c>
      <c r="AA70" s="68">
        <f t="shared" si="75"/>
        <v>4584.6099999999997</v>
      </c>
      <c r="AB70" s="68">
        <f t="shared" ref="AB70:AB81" si="97">TRUNC(Y70*$F70,2)</f>
        <v>6500.82</v>
      </c>
    </row>
    <row r="71" spans="1:28" ht="65.099999999999994" customHeight="1" x14ac:dyDescent="0.2">
      <c r="A71" s="82" t="s">
        <v>198</v>
      </c>
      <c r="B71" s="83" t="s">
        <v>199</v>
      </c>
      <c r="C71" s="82" t="s">
        <v>23</v>
      </c>
      <c r="D71" s="82" t="s">
        <v>200</v>
      </c>
      <c r="E71" s="84" t="s">
        <v>65</v>
      </c>
      <c r="F71" s="83">
        <v>2</v>
      </c>
      <c r="G71" s="85">
        <v>1401.5</v>
      </c>
      <c r="H71" s="85">
        <v>291.62</v>
      </c>
      <c r="I71" s="85">
        <v>1109.8800000000001</v>
      </c>
      <c r="J71" s="85">
        <f t="shared" si="89"/>
        <v>1401.5</v>
      </c>
      <c r="K71" s="85">
        <f t="shared" si="90"/>
        <v>583.24</v>
      </c>
      <c r="L71" s="85">
        <f t="shared" si="91"/>
        <v>2219.7600000000002</v>
      </c>
      <c r="M71" s="85">
        <f t="shared" si="92"/>
        <v>2803</v>
      </c>
      <c r="N71" s="86">
        <f t="shared" si="93"/>
        <v>1.0478913409280419E-3</v>
      </c>
      <c r="O71" s="71" t="s">
        <v>359</v>
      </c>
      <c r="P71" s="67">
        <f>IF(O71="BDI  PADRÃO",'BDI 2025'!$E$16,'BDI 2025'!$G$16)</f>
        <v>0.2049</v>
      </c>
      <c r="Q71" s="68">
        <f t="shared" si="65"/>
        <v>351.37</v>
      </c>
      <c r="R71" s="68">
        <f t="shared" si="66"/>
        <v>1337.29</v>
      </c>
      <c r="S71" s="68">
        <f t="shared" si="67"/>
        <v>1688.66</v>
      </c>
      <c r="T71" s="68">
        <f t="shared" si="94"/>
        <v>702.74</v>
      </c>
      <c r="U71" s="68">
        <f t="shared" si="69"/>
        <v>2674.58</v>
      </c>
      <c r="V71" s="68">
        <f t="shared" si="95"/>
        <v>3377.32</v>
      </c>
      <c r="W71" s="68">
        <f t="shared" si="71"/>
        <v>351.37</v>
      </c>
      <c r="X71" s="68">
        <f t="shared" si="72"/>
        <v>1337.29</v>
      </c>
      <c r="Y71" s="68">
        <f t="shared" si="73"/>
        <v>1688.66</v>
      </c>
      <c r="Z71" s="68">
        <f t="shared" si="96"/>
        <v>702.74</v>
      </c>
      <c r="AA71" s="68">
        <f t="shared" si="75"/>
        <v>2674.58</v>
      </c>
      <c r="AB71" s="68">
        <f t="shared" si="97"/>
        <v>3377.32</v>
      </c>
    </row>
    <row r="72" spans="1:28" ht="39" customHeight="1" x14ac:dyDescent="0.2">
      <c r="A72" s="82" t="s">
        <v>201</v>
      </c>
      <c r="B72" s="83" t="s">
        <v>179</v>
      </c>
      <c r="C72" s="82" t="s">
        <v>23</v>
      </c>
      <c r="D72" s="82" t="s">
        <v>180</v>
      </c>
      <c r="E72" s="84" t="s">
        <v>32</v>
      </c>
      <c r="F72" s="83">
        <v>9.4499999999999993</v>
      </c>
      <c r="G72" s="85">
        <v>31.02</v>
      </c>
      <c r="H72" s="85">
        <v>15.66</v>
      </c>
      <c r="I72" s="85">
        <v>15.36</v>
      </c>
      <c r="J72" s="85">
        <f t="shared" si="89"/>
        <v>31.02</v>
      </c>
      <c r="K72" s="85">
        <f t="shared" si="90"/>
        <v>147.97999999999999</v>
      </c>
      <c r="L72" s="85">
        <f t="shared" si="91"/>
        <v>145.15</v>
      </c>
      <c r="M72" s="85">
        <f t="shared" si="92"/>
        <v>293.13</v>
      </c>
      <c r="N72" s="86">
        <f t="shared" si="93"/>
        <v>1.0958558286344521E-4</v>
      </c>
      <c r="O72" s="71" t="s">
        <v>359</v>
      </c>
      <c r="P72" s="67">
        <f>IF(O72="BDI  PADRÃO",'BDI 2025'!$E$16,'BDI 2025'!$G$16)</f>
        <v>0.2049</v>
      </c>
      <c r="Q72" s="68">
        <f t="shared" si="65"/>
        <v>18.86</v>
      </c>
      <c r="R72" s="68">
        <f t="shared" si="66"/>
        <v>18.509999999999998</v>
      </c>
      <c r="S72" s="68">
        <f t="shared" si="67"/>
        <v>37.369999999999997</v>
      </c>
      <c r="T72" s="68">
        <f t="shared" si="94"/>
        <v>178.22</v>
      </c>
      <c r="U72" s="68">
        <f t="shared" si="69"/>
        <v>174.92</v>
      </c>
      <c r="V72" s="68">
        <f t="shared" si="95"/>
        <v>353.14</v>
      </c>
      <c r="W72" s="68">
        <f t="shared" si="71"/>
        <v>18.86</v>
      </c>
      <c r="X72" s="68">
        <f t="shared" si="72"/>
        <v>18.509999999999998</v>
      </c>
      <c r="Y72" s="68">
        <f t="shared" si="73"/>
        <v>37.369999999999997</v>
      </c>
      <c r="Z72" s="68">
        <f t="shared" si="96"/>
        <v>178.22</v>
      </c>
      <c r="AA72" s="68">
        <f t="shared" si="75"/>
        <v>174.92</v>
      </c>
      <c r="AB72" s="68">
        <f t="shared" si="97"/>
        <v>353.14</v>
      </c>
    </row>
    <row r="73" spans="1:28" ht="24" customHeight="1" x14ac:dyDescent="0.2">
      <c r="A73" s="82" t="s">
        <v>202</v>
      </c>
      <c r="B73" s="83" t="s">
        <v>203</v>
      </c>
      <c r="C73" s="82" t="s">
        <v>48</v>
      </c>
      <c r="D73" s="82" t="s">
        <v>204</v>
      </c>
      <c r="E73" s="84" t="s">
        <v>65</v>
      </c>
      <c r="F73" s="83">
        <v>4</v>
      </c>
      <c r="G73" s="85">
        <v>234.09</v>
      </c>
      <c r="H73" s="85">
        <v>18.04</v>
      </c>
      <c r="I73" s="85">
        <v>216.05</v>
      </c>
      <c r="J73" s="85">
        <f t="shared" si="89"/>
        <v>234.09</v>
      </c>
      <c r="K73" s="85">
        <f t="shared" si="90"/>
        <v>72.16</v>
      </c>
      <c r="L73" s="85">
        <f t="shared" si="91"/>
        <v>864.2</v>
      </c>
      <c r="M73" s="85">
        <f t="shared" si="92"/>
        <v>936.36</v>
      </c>
      <c r="N73" s="86">
        <f t="shared" si="93"/>
        <v>3.5005477559449925E-4</v>
      </c>
      <c r="O73" s="71" t="s">
        <v>359</v>
      </c>
      <c r="P73" s="67">
        <f>IF(O73="BDI  PADRÃO",'BDI 2025'!$E$16,'BDI 2025'!$G$16)</f>
        <v>0.2049</v>
      </c>
      <c r="Q73" s="68">
        <f t="shared" si="65"/>
        <v>21.73</v>
      </c>
      <c r="R73" s="68">
        <f t="shared" si="66"/>
        <v>260.32</v>
      </c>
      <c r="S73" s="68">
        <f t="shared" si="67"/>
        <v>282.05</v>
      </c>
      <c r="T73" s="68">
        <f t="shared" si="94"/>
        <v>86.92</v>
      </c>
      <c r="U73" s="68">
        <f t="shared" si="69"/>
        <v>1041.28</v>
      </c>
      <c r="V73" s="68">
        <f t="shared" si="95"/>
        <v>1128.2</v>
      </c>
      <c r="W73" s="68">
        <f t="shared" si="71"/>
        <v>21.73</v>
      </c>
      <c r="X73" s="68">
        <f t="shared" si="72"/>
        <v>260.32</v>
      </c>
      <c r="Y73" s="68">
        <f t="shared" si="73"/>
        <v>282.05</v>
      </c>
      <c r="Z73" s="68">
        <f t="shared" si="96"/>
        <v>86.92</v>
      </c>
      <c r="AA73" s="68">
        <f t="shared" si="75"/>
        <v>1041.28</v>
      </c>
      <c r="AB73" s="68">
        <f t="shared" si="97"/>
        <v>1128.2</v>
      </c>
    </row>
    <row r="74" spans="1:28" ht="51.95" customHeight="1" x14ac:dyDescent="0.2">
      <c r="A74" s="82" t="s">
        <v>205</v>
      </c>
      <c r="B74" s="83" t="s">
        <v>206</v>
      </c>
      <c r="C74" s="82" t="s">
        <v>23</v>
      </c>
      <c r="D74" s="82" t="s">
        <v>207</v>
      </c>
      <c r="E74" s="84" t="s">
        <v>65</v>
      </c>
      <c r="F74" s="83">
        <v>2</v>
      </c>
      <c r="G74" s="85">
        <v>896.55</v>
      </c>
      <c r="H74" s="85">
        <v>42.64</v>
      </c>
      <c r="I74" s="85">
        <v>853.91</v>
      </c>
      <c r="J74" s="85">
        <f t="shared" si="89"/>
        <v>896.55</v>
      </c>
      <c r="K74" s="85">
        <f t="shared" si="90"/>
        <v>85.28</v>
      </c>
      <c r="L74" s="85">
        <f t="shared" si="91"/>
        <v>1707.82</v>
      </c>
      <c r="M74" s="85">
        <f t="shared" si="92"/>
        <v>1793.1</v>
      </c>
      <c r="N74" s="86">
        <f t="shared" si="93"/>
        <v>6.7034390418054652E-4</v>
      </c>
      <c r="O74" s="71" t="s">
        <v>359</v>
      </c>
      <c r="P74" s="67">
        <f>IF(O74="BDI  PADRÃO",'BDI 2025'!$E$16,'BDI 2025'!$G$16)</f>
        <v>0.2049</v>
      </c>
      <c r="Q74" s="68">
        <f t="shared" si="65"/>
        <v>51.37</v>
      </c>
      <c r="R74" s="68">
        <f t="shared" si="66"/>
        <v>1028.8800000000001</v>
      </c>
      <c r="S74" s="68">
        <f t="shared" si="67"/>
        <v>1080.25</v>
      </c>
      <c r="T74" s="68">
        <f t="shared" si="94"/>
        <v>102.74</v>
      </c>
      <c r="U74" s="68">
        <f t="shared" si="69"/>
        <v>2057.7600000000002</v>
      </c>
      <c r="V74" s="68">
        <f t="shared" si="95"/>
        <v>2160.5</v>
      </c>
      <c r="W74" s="68">
        <f t="shared" si="71"/>
        <v>51.37</v>
      </c>
      <c r="X74" s="68">
        <f t="shared" si="72"/>
        <v>1028.8800000000001</v>
      </c>
      <c r="Y74" s="68">
        <f t="shared" si="73"/>
        <v>1080.25</v>
      </c>
      <c r="Z74" s="68">
        <f t="shared" si="96"/>
        <v>102.74</v>
      </c>
      <c r="AA74" s="68">
        <f t="shared" si="75"/>
        <v>2057.7600000000002</v>
      </c>
      <c r="AB74" s="68">
        <f t="shared" si="97"/>
        <v>2160.5</v>
      </c>
    </row>
    <row r="75" spans="1:28" ht="26.1" customHeight="1" x14ac:dyDescent="0.2">
      <c r="A75" s="82" t="s">
        <v>208</v>
      </c>
      <c r="B75" s="83" t="s">
        <v>209</v>
      </c>
      <c r="C75" s="82" t="s">
        <v>23</v>
      </c>
      <c r="D75" s="82" t="s">
        <v>210</v>
      </c>
      <c r="E75" s="84" t="s">
        <v>65</v>
      </c>
      <c r="F75" s="83">
        <v>4</v>
      </c>
      <c r="G75" s="85">
        <v>236.66</v>
      </c>
      <c r="H75" s="85">
        <v>31.95</v>
      </c>
      <c r="I75" s="85">
        <v>204.71</v>
      </c>
      <c r="J75" s="85">
        <f t="shared" si="89"/>
        <v>236.66</v>
      </c>
      <c r="K75" s="85">
        <f t="shared" si="90"/>
        <v>127.8</v>
      </c>
      <c r="L75" s="85">
        <f t="shared" si="91"/>
        <v>818.84</v>
      </c>
      <c r="M75" s="85">
        <f t="shared" si="92"/>
        <v>946.64</v>
      </c>
      <c r="N75" s="86">
        <f t="shared" si="93"/>
        <v>3.5389791615273694E-4</v>
      </c>
      <c r="O75" s="71" t="s">
        <v>359</v>
      </c>
      <c r="P75" s="67">
        <f>IF(O75="BDI  PADRÃO",'BDI 2025'!$E$16,'BDI 2025'!$G$16)</f>
        <v>0.2049</v>
      </c>
      <c r="Q75" s="68">
        <f t="shared" si="65"/>
        <v>38.49</v>
      </c>
      <c r="R75" s="68">
        <f t="shared" si="66"/>
        <v>246.65999999999997</v>
      </c>
      <c r="S75" s="68">
        <f t="shared" si="67"/>
        <v>285.14999999999998</v>
      </c>
      <c r="T75" s="68">
        <f t="shared" si="94"/>
        <v>153.96</v>
      </c>
      <c r="U75" s="68">
        <f t="shared" si="69"/>
        <v>986.63999999999987</v>
      </c>
      <c r="V75" s="68">
        <f t="shared" si="95"/>
        <v>1140.5999999999999</v>
      </c>
      <c r="W75" s="68">
        <f t="shared" si="71"/>
        <v>38.49</v>
      </c>
      <c r="X75" s="68">
        <f t="shared" si="72"/>
        <v>246.65999999999997</v>
      </c>
      <c r="Y75" s="68">
        <f t="shared" si="73"/>
        <v>285.14999999999998</v>
      </c>
      <c r="Z75" s="68">
        <f t="shared" si="96"/>
        <v>153.96</v>
      </c>
      <c r="AA75" s="68">
        <f t="shared" si="75"/>
        <v>986.63999999999987</v>
      </c>
      <c r="AB75" s="68">
        <f t="shared" si="97"/>
        <v>1140.5999999999999</v>
      </c>
    </row>
    <row r="76" spans="1:28" ht="39" customHeight="1" x14ac:dyDescent="0.2">
      <c r="A76" s="82" t="s">
        <v>211</v>
      </c>
      <c r="B76" s="83" t="s">
        <v>212</v>
      </c>
      <c r="C76" s="82" t="s">
        <v>23</v>
      </c>
      <c r="D76" s="82" t="s">
        <v>213</v>
      </c>
      <c r="E76" s="84" t="s">
        <v>65</v>
      </c>
      <c r="F76" s="83">
        <v>2</v>
      </c>
      <c r="G76" s="85">
        <v>255.76</v>
      </c>
      <c r="H76" s="85">
        <v>31.95</v>
      </c>
      <c r="I76" s="85">
        <v>223.81</v>
      </c>
      <c r="J76" s="85">
        <f t="shared" si="89"/>
        <v>255.76</v>
      </c>
      <c r="K76" s="85">
        <f t="shared" si="90"/>
        <v>63.9</v>
      </c>
      <c r="L76" s="85">
        <f t="shared" si="91"/>
        <v>447.62</v>
      </c>
      <c r="M76" s="85">
        <f t="shared" si="92"/>
        <v>511.52</v>
      </c>
      <c r="N76" s="86">
        <f t="shared" si="93"/>
        <v>1.9122988894452802E-4</v>
      </c>
      <c r="O76" s="71" t="s">
        <v>359</v>
      </c>
      <c r="P76" s="67">
        <f>IF(O76="BDI  PADRÃO",'BDI 2025'!$E$16,'BDI 2025'!$G$16)</f>
        <v>0.2049</v>
      </c>
      <c r="Q76" s="68">
        <f t="shared" si="65"/>
        <v>38.49</v>
      </c>
      <c r="R76" s="68">
        <f t="shared" si="66"/>
        <v>269.67</v>
      </c>
      <c r="S76" s="68">
        <f t="shared" si="67"/>
        <v>308.16000000000003</v>
      </c>
      <c r="T76" s="68">
        <f t="shared" si="94"/>
        <v>76.98</v>
      </c>
      <c r="U76" s="68">
        <f t="shared" si="69"/>
        <v>539.34</v>
      </c>
      <c r="V76" s="68">
        <f t="shared" si="95"/>
        <v>616.32000000000005</v>
      </c>
      <c r="W76" s="68">
        <f t="shared" si="71"/>
        <v>38.49</v>
      </c>
      <c r="X76" s="68">
        <f t="shared" si="72"/>
        <v>269.67</v>
      </c>
      <c r="Y76" s="68">
        <f t="shared" si="73"/>
        <v>308.16000000000003</v>
      </c>
      <c r="Z76" s="68">
        <f t="shared" si="96"/>
        <v>76.98</v>
      </c>
      <c r="AA76" s="68">
        <f t="shared" si="75"/>
        <v>539.34</v>
      </c>
      <c r="AB76" s="68">
        <f t="shared" si="97"/>
        <v>616.32000000000005</v>
      </c>
    </row>
    <row r="77" spans="1:28" ht="39" customHeight="1" x14ac:dyDescent="0.2">
      <c r="A77" s="82" t="s">
        <v>214</v>
      </c>
      <c r="B77" s="83" t="s">
        <v>215</v>
      </c>
      <c r="C77" s="82" t="s">
        <v>23</v>
      </c>
      <c r="D77" s="82" t="s">
        <v>216</v>
      </c>
      <c r="E77" s="84" t="s">
        <v>65</v>
      </c>
      <c r="F77" s="83">
        <v>2</v>
      </c>
      <c r="G77" s="85">
        <v>236.66</v>
      </c>
      <c r="H77" s="85">
        <v>31.95</v>
      </c>
      <c r="I77" s="85">
        <v>204.71</v>
      </c>
      <c r="J77" s="85">
        <f t="shared" si="89"/>
        <v>236.66</v>
      </c>
      <c r="K77" s="85">
        <f t="shared" si="90"/>
        <v>63.9</v>
      </c>
      <c r="L77" s="85">
        <f t="shared" si="91"/>
        <v>409.42</v>
      </c>
      <c r="M77" s="85">
        <f t="shared" si="92"/>
        <v>473.32</v>
      </c>
      <c r="N77" s="86">
        <f t="shared" si="93"/>
        <v>1.7694895807636847E-4</v>
      </c>
      <c r="O77" s="71" t="s">
        <v>359</v>
      </c>
      <c r="P77" s="67">
        <f>IF(O77="BDI  PADRÃO",'BDI 2025'!$E$16,'BDI 2025'!$G$16)</f>
        <v>0.2049</v>
      </c>
      <c r="Q77" s="68">
        <f t="shared" si="65"/>
        <v>38.49</v>
      </c>
      <c r="R77" s="68">
        <f t="shared" si="66"/>
        <v>246.65999999999997</v>
      </c>
      <c r="S77" s="68">
        <f t="shared" si="67"/>
        <v>285.14999999999998</v>
      </c>
      <c r="T77" s="68">
        <f t="shared" si="94"/>
        <v>76.98</v>
      </c>
      <c r="U77" s="68">
        <f t="shared" si="69"/>
        <v>493.31999999999994</v>
      </c>
      <c r="V77" s="68">
        <f t="shared" si="95"/>
        <v>570.29999999999995</v>
      </c>
      <c r="W77" s="68">
        <f t="shared" si="71"/>
        <v>38.49</v>
      </c>
      <c r="X77" s="68">
        <f t="shared" si="72"/>
        <v>246.65999999999997</v>
      </c>
      <c r="Y77" s="68">
        <f t="shared" si="73"/>
        <v>285.14999999999998</v>
      </c>
      <c r="Z77" s="68">
        <f t="shared" si="96"/>
        <v>76.98</v>
      </c>
      <c r="AA77" s="68">
        <f t="shared" si="75"/>
        <v>493.31999999999994</v>
      </c>
      <c r="AB77" s="68">
        <f t="shared" si="97"/>
        <v>570.29999999999995</v>
      </c>
    </row>
    <row r="78" spans="1:28" ht="26.1" customHeight="1" x14ac:dyDescent="0.2">
      <c r="A78" s="82" t="s">
        <v>217</v>
      </c>
      <c r="B78" s="83" t="s">
        <v>218</v>
      </c>
      <c r="C78" s="82" t="s">
        <v>60</v>
      </c>
      <c r="D78" s="82" t="s">
        <v>219</v>
      </c>
      <c r="E78" s="84" t="s">
        <v>89</v>
      </c>
      <c r="F78" s="83">
        <v>2</v>
      </c>
      <c r="G78" s="85">
        <v>706.51</v>
      </c>
      <c r="H78" s="85">
        <v>4.95</v>
      </c>
      <c r="I78" s="85">
        <v>701.56</v>
      </c>
      <c r="J78" s="85">
        <f t="shared" si="89"/>
        <v>706.51</v>
      </c>
      <c r="K78" s="85">
        <f t="shared" si="90"/>
        <v>9.9</v>
      </c>
      <c r="L78" s="85">
        <f t="shared" si="91"/>
        <v>1403.12</v>
      </c>
      <c r="M78" s="85">
        <f t="shared" si="92"/>
        <v>1413.02</v>
      </c>
      <c r="N78" s="86">
        <f t="shared" si="93"/>
        <v>5.2825238050593719E-4</v>
      </c>
      <c r="O78" s="71" t="s">
        <v>359</v>
      </c>
      <c r="P78" s="67">
        <f>IF(O78="BDI  PADRÃO",'BDI 2025'!$E$16,'BDI 2025'!$G$16)</f>
        <v>0.2049</v>
      </c>
      <c r="Q78" s="68">
        <f t="shared" si="65"/>
        <v>5.96</v>
      </c>
      <c r="R78" s="68">
        <f t="shared" si="66"/>
        <v>845.31</v>
      </c>
      <c r="S78" s="68">
        <f t="shared" si="67"/>
        <v>851.27</v>
      </c>
      <c r="T78" s="68">
        <f t="shared" si="94"/>
        <v>11.92</v>
      </c>
      <c r="U78" s="68">
        <f t="shared" si="69"/>
        <v>1690.62</v>
      </c>
      <c r="V78" s="68">
        <f t="shared" si="95"/>
        <v>1702.54</v>
      </c>
      <c r="W78" s="68">
        <f t="shared" si="71"/>
        <v>5.96</v>
      </c>
      <c r="X78" s="68">
        <f t="shared" si="72"/>
        <v>845.31</v>
      </c>
      <c r="Y78" s="68">
        <f t="shared" si="73"/>
        <v>851.27</v>
      </c>
      <c r="Z78" s="68">
        <f t="shared" si="96"/>
        <v>11.92</v>
      </c>
      <c r="AA78" s="68">
        <f t="shared" si="75"/>
        <v>1690.62</v>
      </c>
      <c r="AB78" s="68">
        <f t="shared" si="97"/>
        <v>1702.54</v>
      </c>
    </row>
    <row r="79" spans="1:28" ht="24" customHeight="1" x14ac:dyDescent="0.2">
      <c r="A79" s="82" t="s">
        <v>220</v>
      </c>
      <c r="B79" s="83" t="s">
        <v>221</v>
      </c>
      <c r="C79" s="82" t="s">
        <v>48</v>
      </c>
      <c r="D79" s="82" t="s">
        <v>222</v>
      </c>
      <c r="E79" s="84" t="s">
        <v>32</v>
      </c>
      <c r="F79" s="83">
        <v>0.42</v>
      </c>
      <c r="G79" s="85">
        <v>524.72</v>
      </c>
      <c r="H79" s="85">
        <v>34.69</v>
      </c>
      <c r="I79" s="85">
        <v>490.03</v>
      </c>
      <c r="J79" s="85">
        <f t="shared" si="89"/>
        <v>524.72</v>
      </c>
      <c r="K79" s="85">
        <f t="shared" si="90"/>
        <v>14.56</v>
      </c>
      <c r="L79" s="85">
        <f t="shared" si="91"/>
        <v>205.82</v>
      </c>
      <c r="M79" s="85">
        <f t="shared" si="92"/>
        <v>220.38</v>
      </c>
      <c r="N79" s="86">
        <f t="shared" si="93"/>
        <v>8.2388260333115198E-5</v>
      </c>
      <c r="O79" s="71" t="s">
        <v>359</v>
      </c>
      <c r="P79" s="67">
        <f>IF(O79="BDI  PADRÃO",'BDI 2025'!$E$16,'BDI 2025'!$G$16)</f>
        <v>0.2049</v>
      </c>
      <c r="Q79" s="68">
        <f t="shared" si="65"/>
        <v>41.79</v>
      </c>
      <c r="R79" s="68">
        <f t="shared" si="66"/>
        <v>590.44000000000005</v>
      </c>
      <c r="S79" s="68">
        <f t="shared" si="67"/>
        <v>632.23</v>
      </c>
      <c r="T79" s="68">
        <f t="shared" si="94"/>
        <v>17.55</v>
      </c>
      <c r="U79" s="68">
        <f t="shared" si="69"/>
        <v>247.97999999999996</v>
      </c>
      <c r="V79" s="68">
        <f t="shared" si="95"/>
        <v>265.52999999999997</v>
      </c>
      <c r="W79" s="68">
        <f t="shared" si="71"/>
        <v>41.79</v>
      </c>
      <c r="X79" s="68">
        <f t="shared" si="72"/>
        <v>590.44000000000005</v>
      </c>
      <c r="Y79" s="68">
        <f t="shared" si="73"/>
        <v>632.23</v>
      </c>
      <c r="Z79" s="68">
        <f t="shared" si="96"/>
        <v>17.55</v>
      </c>
      <c r="AA79" s="68">
        <f t="shared" si="75"/>
        <v>247.97999999999996</v>
      </c>
      <c r="AB79" s="68">
        <f t="shared" si="97"/>
        <v>265.52999999999997</v>
      </c>
    </row>
    <row r="80" spans="1:28" ht="65.099999999999994" customHeight="1" x14ac:dyDescent="0.2">
      <c r="A80" s="82" t="s">
        <v>223</v>
      </c>
      <c r="B80" s="83" t="s">
        <v>224</v>
      </c>
      <c r="C80" s="82" t="s">
        <v>23</v>
      </c>
      <c r="D80" s="82" t="s">
        <v>225</v>
      </c>
      <c r="E80" s="84" t="s">
        <v>65</v>
      </c>
      <c r="F80" s="83">
        <v>2</v>
      </c>
      <c r="G80" s="85">
        <v>271.36</v>
      </c>
      <c r="H80" s="85">
        <v>29.65</v>
      </c>
      <c r="I80" s="85">
        <v>241.71</v>
      </c>
      <c r="J80" s="85">
        <f t="shared" si="89"/>
        <v>271.36</v>
      </c>
      <c r="K80" s="85">
        <f t="shared" si="90"/>
        <v>59.3</v>
      </c>
      <c r="L80" s="85">
        <f t="shared" si="91"/>
        <v>483.42</v>
      </c>
      <c r="M80" s="85">
        <f t="shared" si="92"/>
        <v>542.72</v>
      </c>
      <c r="N80" s="86">
        <f t="shared" si="93"/>
        <v>2.02893895308051E-4</v>
      </c>
      <c r="O80" s="71" t="s">
        <v>359</v>
      </c>
      <c r="P80" s="67">
        <f>IF(O80="BDI  PADRÃO",'BDI 2025'!$E$16,'BDI 2025'!$G$16)</f>
        <v>0.2049</v>
      </c>
      <c r="Q80" s="68">
        <f t="shared" si="65"/>
        <v>35.72</v>
      </c>
      <c r="R80" s="68">
        <f t="shared" si="66"/>
        <v>291.24</v>
      </c>
      <c r="S80" s="68">
        <f t="shared" si="67"/>
        <v>326.95999999999998</v>
      </c>
      <c r="T80" s="68">
        <f t="shared" si="94"/>
        <v>71.44</v>
      </c>
      <c r="U80" s="68">
        <f t="shared" si="69"/>
        <v>582.48</v>
      </c>
      <c r="V80" s="68">
        <f t="shared" si="95"/>
        <v>653.91999999999996</v>
      </c>
      <c r="W80" s="68">
        <f t="shared" si="71"/>
        <v>35.72</v>
      </c>
      <c r="X80" s="68">
        <f t="shared" si="72"/>
        <v>291.24</v>
      </c>
      <c r="Y80" s="68">
        <f t="shared" si="73"/>
        <v>326.95999999999998</v>
      </c>
      <c r="Z80" s="68">
        <f t="shared" si="96"/>
        <v>71.44</v>
      </c>
      <c r="AA80" s="68">
        <f t="shared" si="75"/>
        <v>582.48</v>
      </c>
      <c r="AB80" s="68">
        <f t="shared" si="97"/>
        <v>653.91999999999996</v>
      </c>
    </row>
    <row r="81" spans="1:28" ht="26.1" customHeight="1" x14ac:dyDescent="0.2">
      <c r="A81" s="82" t="s">
        <v>226</v>
      </c>
      <c r="B81" s="83" t="s">
        <v>227</v>
      </c>
      <c r="C81" s="82" t="s">
        <v>48</v>
      </c>
      <c r="D81" s="82" t="s">
        <v>228</v>
      </c>
      <c r="E81" s="84" t="s">
        <v>65</v>
      </c>
      <c r="F81" s="83">
        <v>2</v>
      </c>
      <c r="G81" s="85">
        <v>466.66</v>
      </c>
      <c r="H81" s="85">
        <v>36.159999999999997</v>
      </c>
      <c r="I81" s="85">
        <v>430.5</v>
      </c>
      <c r="J81" s="85">
        <f t="shared" si="89"/>
        <v>466.66</v>
      </c>
      <c r="K81" s="85">
        <f t="shared" si="90"/>
        <v>72.319999999999993</v>
      </c>
      <c r="L81" s="85">
        <f t="shared" si="91"/>
        <v>861</v>
      </c>
      <c r="M81" s="85">
        <f t="shared" si="92"/>
        <v>933.32</v>
      </c>
      <c r="N81" s="86">
        <f t="shared" si="93"/>
        <v>3.4891828266677137E-4</v>
      </c>
      <c r="O81" s="71" t="s">
        <v>359</v>
      </c>
      <c r="P81" s="67">
        <f>IF(O81="BDI  PADRÃO",'BDI 2025'!$E$16,'BDI 2025'!$G$16)</f>
        <v>0.2049</v>
      </c>
      <c r="Q81" s="68">
        <f t="shared" si="65"/>
        <v>43.56</v>
      </c>
      <c r="R81" s="68">
        <f t="shared" si="66"/>
        <v>518.71</v>
      </c>
      <c r="S81" s="68">
        <f t="shared" si="67"/>
        <v>562.27</v>
      </c>
      <c r="T81" s="68">
        <f t="shared" si="94"/>
        <v>87.12</v>
      </c>
      <c r="U81" s="68">
        <f t="shared" si="69"/>
        <v>1037.42</v>
      </c>
      <c r="V81" s="68">
        <f t="shared" si="95"/>
        <v>1124.54</v>
      </c>
      <c r="W81" s="68">
        <f t="shared" si="71"/>
        <v>43.56</v>
      </c>
      <c r="X81" s="68">
        <f t="shared" si="72"/>
        <v>518.71</v>
      </c>
      <c r="Y81" s="68">
        <f t="shared" si="73"/>
        <v>562.27</v>
      </c>
      <c r="Z81" s="68">
        <f t="shared" si="96"/>
        <v>87.12</v>
      </c>
      <c r="AA81" s="68">
        <f t="shared" si="75"/>
        <v>1037.42</v>
      </c>
      <c r="AB81" s="68">
        <f t="shared" si="97"/>
        <v>1124.54</v>
      </c>
    </row>
    <row r="82" spans="1:28" ht="24" customHeight="1" x14ac:dyDescent="0.2">
      <c r="A82" s="78" t="s">
        <v>229</v>
      </c>
      <c r="B82" s="78"/>
      <c r="C82" s="78"/>
      <c r="D82" s="78" t="s">
        <v>101</v>
      </c>
      <c r="E82" s="78"/>
      <c r="F82" s="79"/>
      <c r="G82" s="78"/>
      <c r="H82" s="78"/>
      <c r="I82" s="78"/>
      <c r="J82" s="78"/>
      <c r="K82" s="78"/>
      <c r="L82" s="78"/>
      <c r="M82" s="80">
        <v>556435.21</v>
      </c>
      <c r="N82" s="81">
        <f t="shared" si="93"/>
        <v>0.20802127661308475</v>
      </c>
      <c r="O82" s="69"/>
      <c r="P82" s="69"/>
      <c r="Q82" s="69"/>
      <c r="R82" s="69"/>
      <c r="S82" s="69"/>
      <c r="T82" s="69"/>
      <c r="U82" s="69"/>
      <c r="V82" s="70">
        <f>SUM(V83,V89,V94,V96,V113)</f>
        <v>664290.80000000005</v>
      </c>
      <c r="W82" s="69"/>
      <c r="X82" s="69"/>
      <c r="Y82" s="69"/>
      <c r="Z82" s="69"/>
      <c r="AA82" s="69"/>
      <c r="AB82" s="70">
        <f>SUM(AB83,AB89,AB94,AB96,AB113)</f>
        <v>664290.80000000005</v>
      </c>
    </row>
    <row r="83" spans="1:28" ht="24" customHeight="1" x14ac:dyDescent="0.2">
      <c r="A83" s="78" t="s">
        <v>230</v>
      </c>
      <c r="B83" s="78"/>
      <c r="C83" s="78"/>
      <c r="D83" s="78" t="s">
        <v>103</v>
      </c>
      <c r="E83" s="78"/>
      <c r="F83" s="79"/>
      <c r="G83" s="78"/>
      <c r="H83" s="78"/>
      <c r="I83" s="78"/>
      <c r="J83" s="78"/>
      <c r="K83" s="78"/>
      <c r="L83" s="78"/>
      <c r="M83" s="80">
        <v>12329.27</v>
      </c>
      <c r="N83" s="81">
        <f t="shared" si="93"/>
        <v>4.60925268389721E-3</v>
      </c>
      <c r="O83" s="69"/>
      <c r="P83" s="69"/>
      <c r="Q83" s="69"/>
      <c r="R83" s="69"/>
      <c r="S83" s="69"/>
      <c r="T83" s="69"/>
      <c r="U83" s="69"/>
      <c r="V83" s="70">
        <f>SUM(V84:V88)</f>
        <v>14855.42</v>
      </c>
      <c r="W83" s="69"/>
      <c r="X83" s="69"/>
      <c r="Y83" s="69"/>
      <c r="Z83" s="69"/>
      <c r="AA83" s="69"/>
      <c r="AB83" s="70">
        <f>SUM(AB84:AB88)</f>
        <v>14855.42</v>
      </c>
    </row>
    <row r="84" spans="1:28" ht="51.95" customHeight="1" x14ac:dyDescent="0.2">
      <c r="A84" s="82" t="s">
        <v>231</v>
      </c>
      <c r="B84" s="83" t="s">
        <v>232</v>
      </c>
      <c r="C84" s="82" t="s">
        <v>23</v>
      </c>
      <c r="D84" s="82" t="s">
        <v>233</v>
      </c>
      <c r="E84" s="84" t="s">
        <v>32</v>
      </c>
      <c r="F84" s="83">
        <v>12.9</v>
      </c>
      <c r="G84" s="85">
        <v>84.49</v>
      </c>
      <c r="H84" s="85">
        <v>18.16</v>
      </c>
      <c r="I84" s="85">
        <v>66.33</v>
      </c>
      <c r="J84" s="85">
        <f>TRUNC(G84 * (1 + 0 / 100), 2)</f>
        <v>84.49</v>
      </c>
      <c r="K84" s="85">
        <f>TRUNC(F84 * H84, 2)</f>
        <v>234.26</v>
      </c>
      <c r="L84" s="85">
        <f>M84 - K84</f>
        <v>855.66000000000008</v>
      </c>
      <c r="M84" s="85">
        <f>TRUNC(F84 * J84, 2)</f>
        <v>1089.92</v>
      </c>
      <c r="N84" s="86">
        <f t="shared" si="93"/>
        <v>4.0746262229906941E-4</v>
      </c>
      <c r="O84" s="71" t="s">
        <v>359</v>
      </c>
      <c r="P84" s="67">
        <f>IF(O84="BDI  PADRÃO",'BDI 2025'!$E$16,'BDI 2025'!$G$16)</f>
        <v>0.2049</v>
      </c>
      <c r="Q84" s="68">
        <f t="shared" ref="Q84:Q88" si="98">TRUNC($H84*(1+$P84),2)</f>
        <v>21.88</v>
      </c>
      <c r="R84" s="68">
        <f t="shared" ref="R84:R88" si="99">S84-Q84</f>
        <v>79.92</v>
      </c>
      <c r="S84" s="68">
        <f t="shared" ref="S84:S88" si="100">TRUNC($G84*(1+$P84),2)</f>
        <v>101.8</v>
      </c>
      <c r="T84" s="68">
        <f t="shared" ref="T84:T88" si="101">TRUNC(Q84*$F84,2)</f>
        <v>282.25</v>
      </c>
      <c r="U84" s="68">
        <f t="shared" ref="U84:U88" si="102">V84-T84</f>
        <v>1030.97</v>
      </c>
      <c r="V84" s="68">
        <f t="shared" ref="V84:V88" si="103">TRUNC(S84*$F84,2)</f>
        <v>1313.22</v>
      </c>
      <c r="W84" s="68">
        <f t="shared" ref="W84:W88" si="104">TRUNC($H84*(1+$P84-$R$1),2)</f>
        <v>21.88</v>
      </c>
      <c r="X84" s="68">
        <f t="shared" ref="X84:X88" si="105">Y84-W84</f>
        <v>79.92</v>
      </c>
      <c r="Y84" s="68">
        <f t="shared" ref="Y84:Y88" si="106">TRUNC($G84*(1+$P84-$R$1),2)</f>
        <v>101.8</v>
      </c>
      <c r="Z84" s="68">
        <f t="shared" ref="Z84:Z88" si="107">TRUNC(W84*$F84,2)</f>
        <v>282.25</v>
      </c>
      <c r="AA84" s="68">
        <f t="shared" ref="AA84:AA88" si="108">AB84-Z84</f>
        <v>1030.97</v>
      </c>
      <c r="AB84" s="68">
        <f t="shared" ref="AB84:AB88" si="109">TRUNC(Y84*$F84,2)</f>
        <v>1313.22</v>
      </c>
    </row>
    <row r="85" spans="1:28" ht="65.099999999999994" customHeight="1" x14ac:dyDescent="0.2">
      <c r="A85" s="82" t="s">
        <v>234</v>
      </c>
      <c r="B85" s="83" t="s">
        <v>235</v>
      </c>
      <c r="C85" s="82" t="s">
        <v>23</v>
      </c>
      <c r="D85" s="82" t="s">
        <v>236</v>
      </c>
      <c r="E85" s="84" t="s">
        <v>65</v>
      </c>
      <c r="F85" s="83">
        <v>1</v>
      </c>
      <c r="G85" s="85">
        <v>776.63</v>
      </c>
      <c r="H85" s="85">
        <v>127.67</v>
      </c>
      <c r="I85" s="85">
        <v>648.96</v>
      </c>
      <c r="J85" s="85">
        <f>TRUNC(G85 * (1 + 0 / 100), 2)</f>
        <v>776.63</v>
      </c>
      <c r="K85" s="85">
        <f>TRUNC(F85 * H85, 2)</f>
        <v>127.67</v>
      </c>
      <c r="L85" s="85">
        <f>M85 - K85</f>
        <v>648.96</v>
      </c>
      <c r="M85" s="85">
        <f>TRUNC(F85 * J85, 2)</f>
        <v>776.63</v>
      </c>
      <c r="N85" s="86">
        <f t="shared" si="93"/>
        <v>2.9034029686227086E-4</v>
      </c>
      <c r="O85" s="71" t="s">
        <v>359</v>
      </c>
      <c r="P85" s="67">
        <f>IF(O85="BDI  PADRÃO",'BDI 2025'!$E$16,'BDI 2025'!$G$16)</f>
        <v>0.2049</v>
      </c>
      <c r="Q85" s="68">
        <f t="shared" si="98"/>
        <v>153.82</v>
      </c>
      <c r="R85" s="68">
        <f t="shared" si="99"/>
        <v>781.94</v>
      </c>
      <c r="S85" s="68">
        <f t="shared" si="100"/>
        <v>935.76</v>
      </c>
      <c r="T85" s="68">
        <f t="shared" si="101"/>
        <v>153.82</v>
      </c>
      <c r="U85" s="68">
        <f t="shared" si="102"/>
        <v>781.94</v>
      </c>
      <c r="V85" s="68">
        <f t="shared" si="103"/>
        <v>935.76</v>
      </c>
      <c r="W85" s="68">
        <f t="shared" si="104"/>
        <v>153.82</v>
      </c>
      <c r="X85" s="68">
        <f t="shared" si="105"/>
        <v>781.94</v>
      </c>
      <c r="Y85" s="68">
        <f t="shared" si="106"/>
        <v>935.76</v>
      </c>
      <c r="Z85" s="68">
        <f t="shared" si="107"/>
        <v>153.82</v>
      </c>
      <c r="AA85" s="68">
        <f t="shared" si="108"/>
        <v>781.94</v>
      </c>
      <c r="AB85" s="68">
        <f t="shared" si="109"/>
        <v>935.76</v>
      </c>
    </row>
    <row r="86" spans="1:28" ht="65.099999999999994" customHeight="1" x14ac:dyDescent="0.2">
      <c r="A86" s="82" t="s">
        <v>237</v>
      </c>
      <c r="B86" s="83" t="s">
        <v>238</v>
      </c>
      <c r="C86" s="82" t="s">
        <v>68</v>
      </c>
      <c r="D86" s="82" t="s">
        <v>239</v>
      </c>
      <c r="E86" s="84" t="s">
        <v>65</v>
      </c>
      <c r="F86" s="83">
        <v>2</v>
      </c>
      <c r="G86" s="85">
        <v>2250.23</v>
      </c>
      <c r="H86" s="85">
        <v>39.01</v>
      </c>
      <c r="I86" s="85">
        <v>2211.2199999999998</v>
      </c>
      <c r="J86" s="85">
        <f>TRUNC(G86 * (1 + 0 / 100), 2)</f>
        <v>2250.23</v>
      </c>
      <c r="K86" s="85">
        <f>TRUNC(F86 * H86, 2)</f>
        <v>78.02</v>
      </c>
      <c r="L86" s="85">
        <f>M86 - K86</f>
        <v>4422.4399999999996</v>
      </c>
      <c r="M86" s="85">
        <f>TRUNC(F86 * J86, 2)</f>
        <v>4500.46</v>
      </c>
      <c r="N86" s="86">
        <f t="shared" si="93"/>
        <v>1.682480579448097E-3</v>
      </c>
      <c r="O86" s="71" t="s">
        <v>359</v>
      </c>
      <c r="P86" s="67">
        <f>IF(O86="BDI  PADRÃO",'BDI 2025'!$E$16,'BDI 2025'!$G$16)</f>
        <v>0.2049</v>
      </c>
      <c r="Q86" s="68">
        <f t="shared" si="98"/>
        <v>47</v>
      </c>
      <c r="R86" s="68">
        <f t="shared" si="99"/>
        <v>2664.3</v>
      </c>
      <c r="S86" s="68">
        <f t="shared" si="100"/>
        <v>2711.3</v>
      </c>
      <c r="T86" s="68">
        <f t="shared" si="101"/>
        <v>94</v>
      </c>
      <c r="U86" s="68">
        <f t="shared" si="102"/>
        <v>5328.6</v>
      </c>
      <c r="V86" s="68">
        <f t="shared" si="103"/>
        <v>5422.6</v>
      </c>
      <c r="W86" s="68">
        <f t="shared" si="104"/>
        <v>47</v>
      </c>
      <c r="X86" s="68">
        <f t="shared" si="105"/>
        <v>2664.3</v>
      </c>
      <c r="Y86" s="68">
        <f t="shared" si="106"/>
        <v>2711.3</v>
      </c>
      <c r="Z86" s="68">
        <f t="shared" si="107"/>
        <v>94</v>
      </c>
      <c r="AA86" s="68">
        <f t="shared" si="108"/>
        <v>5328.6</v>
      </c>
      <c r="AB86" s="68">
        <f t="shared" si="109"/>
        <v>5422.6</v>
      </c>
    </row>
    <row r="87" spans="1:28" ht="24" customHeight="1" x14ac:dyDescent="0.2">
      <c r="A87" s="82" t="s">
        <v>240</v>
      </c>
      <c r="B87" s="83" t="s">
        <v>241</v>
      </c>
      <c r="C87" s="82" t="s">
        <v>48</v>
      </c>
      <c r="D87" s="82" t="s">
        <v>242</v>
      </c>
      <c r="E87" s="84" t="s">
        <v>32</v>
      </c>
      <c r="F87" s="83">
        <v>8.5</v>
      </c>
      <c r="G87" s="85">
        <v>559.07000000000005</v>
      </c>
      <c r="H87" s="85">
        <v>58.71</v>
      </c>
      <c r="I87" s="85">
        <v>500.36</v>
      </c>
      <c r="J87" s="85">
        <f>TRUNC(G87 * (1 + 0 / 100), 2)</f>
        <v>559.07000000000005</v>
      </c>
      <c r="K87" s="85">
        <f>TRUNC(F87 * H87, 2)</f>
        <v>499.03</v>
      </c>
      <c r="L87" s="85">
        <f>M87 - K87</f>
        <v>4253.0600000000004</v>
      </c>
      <c r="M87" s="85">
        <f>TRUNC(F87 * J87, 2)</f>
        <v>4752.09</v>
      </c>
      <c r="N87" s="86">
        <f t="shared" si="93"/>
        <v>1.7765515384626255E-3</v>
      </c>
      <c r="O87" s="71" t="s">
        <v>359</v>
      </c>
      <c r="P87" s="67">
        <f>IF(O87="BDI  PADRÃO",'BDI 2025'!$E$16,'BDI 2025'!$G$16)</f>
        <v>0.2049</v>
      </c>
      <c r="Q87" s="68">
        <f t="shared" si="98"/>
        <v>70.73</v>
      </c>
      <c r="R87" s="68">
        <f t="shared" si="99"/>
        <v>602.89</v>
      </c>
      <c r="S87" s="68">
        <f t="shared" si="100"/>
        <v>673.62</v>
      </c>
      <c r="T87" s="68">
        <f t="shared" si="101"/>
        <v>601.20000000000005</v>
      </c>
      <c r="U87" s="68">
        <f t="shared" si="102"/>
        <v>5124.5700000000006</v>
      </c>
      <c r="V87" s="68">
        <f t="shared" si="103"/>
        <v>5725.77</v>
      </c>
      <c r="W87" s="68">
        <f t="shared" si="104"/>
        <v>70.73</v>
      </c>
      <c r="X87" s="68">
        <f t="shared" si="105"/>
        <v>602.89</v>
      </c>
      <c r="Y87" s="68">
        <f t="shared" si="106"/>
        <v>673.62</v>
      </c>
      <c r="Z87" s="68">
        <f t="shared" si="107"/>
        <v>601.20000000000005</v>
      </c>
      <c r="AA87" s="68">
        <f t="shared" si="108"/>
        <v>5124.5700000000006</v>
      </c>
      <c r="AB87" s="68">
        <f t="shared" si="109"/>
        <v>5725.77</v>
      </c>
    </row>
    <row r="88" spans="1:28" ht="26.1" customHeight="1" x14ac:dyDescent="0.2">
      <c r="A88" s="82" t="s">
        <v>243</v>
      </c>
      <c r="B88" s="83" t="s">
        <v>244</v>
      </c>
      <c r="C88" s="82" t="s">
        <v>23</v>
      </c>
      <c r="D88" s="82" t="s">
        <v>245</v>
      </c>
      <c r="E88" s="84" t="s">
        <v>45</v>
      </c>
      <c r="F88" s="83">
        <v>7.2</v>
      </c>
      <c r="G88" s="85">
        <v>168.08</v>
      </c>
      <c r="H88" s="85">
        <v>16.32</v>
      </c>
      <c r="I88" s="85">
        <v>151.76</v>
      </c>
      <c r="J88" s="85">
        <f>TRUNC(G88 * (1 + 0 / 100), 2)</f>
        <v>168.08</v>
      </c>
      <c r="K88" s="85">
        <f>TRUNC(F88 * H88, 2)</f>
        <v>117.5</v>
      </c>
      <c r="L88" s="85">
        <f>M88 - K88</f>
        <v>1092.67</v>
      </c>
      <c r="M88" s="85">
        <f>TRUNC(F88 * J88, 2)</f>
        <v>1210.17</v>
      </c>
      <c r="N88" s="86">
        <f t="shared" si="93"/>
        <v>4.5241764682514758E-4</v>
      </c>
      <c r="O88" s="71" t="s">
        <v>359</v>
      </c>
      <c r="P88" s="67">
        <f>IF(O88="BDI  PADRÃO",'BDI 2025'!$E$16,'BDI 2025'!$G$16)</f>
        <v>0.2049</v>
      </c>
      <c r="Q88" s="68">
        <f t="shared" si="98"/>
        <v>19.66</v>
      </c>
      <c r="R88" s="68">
        <f t="shared" si="99"/>
        <v>182.85</v>
      </c>
      <c r="S88" s="68">
        <f t="shared" si="100"/>
        <v>202.51</v>
      </c>
      <c r="T88" s="68">
        <f t="shared" si="101"/>
        <v>141.55000000000001</v>
      </c>
      <c r="U88" s="68">
        <f t="shared" si="102"/>
        <v>1316.52</v>
      </c>
      <c r="V88" s="68">
        <f t="shared" si="103"/>
        <v>1458.07</v>
      </c>
      <c r="W88" s="68">
        <f t="shared" si="104"/>
        <v>19.66</v>
      </c>
      <c r="X88" s="68">
        <f t="shared" si="105"/>
        <v>182.85</v>
      </c>
      <c r="Y88" s="68">
        <f t="shared" si="106"/>
        <v>202.51</v>
      </c>
      <c r="Z88" s="68">
        <f t="shared" si="107"/>
        <v>141.55000000000001</v>
      </c>
      <c r="AA88" s="68">
        <f t="shared" si="108"/>
        <v>1316.52</v>
      </c>
      <c r="AB88" s="68">
        <f t="shared" si="109"/>
        <v>1458.07</v>
      </c>
    </row>
    <row r="89" spans="1:28" ht="24" customHeight="1" x14ac:dyDescent="0.2">
      <c r="A89" s="78" t="s">
        <v>246</v>
      </c>
      <c r="B89" s="78"/>
      <c r="C89" s="78"/>
      <c r="D89" s="78" t="s">
        <v>247</v>
      </c>
      <c r="E89" s="78"/>
      <c r="F89" s="79"/>
      <c r="G89" s="78"/>
      <c r="H89" s="78"/>
      <c r="I89" s="78"/>
      <c r="J89" s="78"/>
      <c r="K89" s="78"/>
      <c r="L89" s="78"/>
      <c r="M89" s="80">
        <v>14672.68</v>
      </c>
      <c r="N89" s="81">
        <f t="shared" si="93"/>
        <v>5.4853279772415497E-3</v>
      </c>
      <c r="O89" s="69"/>
      <c r="P89" s="69"/>
      <c r="Q89" s="69"/>
      <c r="R89" s="69"/>
      <c r="S89" s="69"/>
      <c r="T89" s="69"/>
      <c r="U89" s="69"/>
      <c r="V89" s="70">
        <f>SUM(V90:V93)</f>
        <v>17679</v>
      </c>
      <c r="W89" s="69"/>
      <c r="X89" s="69"/>
      <c r="Y89" s="69"/>
      <c r="Z89" s="69"/>
      <c r="AA89" s="69"/>
      <c r="AB89" s="70">
        <f>SUM(AB90:AB93)</f>
        <v>17679</v>
      </c>
    </row>
    <row r="90" spans="1:28" ht="26.1" customHeight="1" x14ac:dyDescent="0.2">
      <c r="A90" s="82" t="s">
        <v>248</v>
      </c>
      <c r="B90" s="83" t="s">
        <v>249</v>
      </c>
      <c r="C90" s="82" t="s">
        <v>23</v>
      </c>
      <c r="D90" s="82" t="s">
        <v>250</v>
      </c>
      <c r="E90" s="84" t="s">
        <v>32</v>
      </c>
      <c r="F90" s="83">
        <v>5.85</v>
      </c>
      <c r="G90" s="85">
        <v>79.98</v>
      </c>
      <c r="H90" s="85">
        <v>0.95</v>
      </c>
      <c r="I90" s="85">
        <v>79.03</v>
      </c>
      <c r="J90" s="85">
        <f>TRUNC(G90 * (1 + 0 / 100), 2)</f>
        <v>79.98</v>
      </c>
      <c r="K90" s="85">
        <f>TRUNC(F90 * H90, 2)</f>
        <v>5.55</v>
      </c>
      <c r="L90" s="85">
        <f>M90 - K90</f>
        <v>462.33</v>
      </c>
      <c r="M90" s="85">
        <f>TRUNC(F90 * J90, 2)</f>
        <v>467.88</v>
      </c>
      <c r="N90" s="86">
        <f t="shared" si="93"/>
        <v>1.7491523388990805E-4</v>
      </c>
      <c r="O90" s="71" t="s">
        <v>359</v>
      </c>
      <c r="P90" s="67">
        <f>IF(O90="BDI  PADRÃO",'BDI 2025'!$E$16,'BDI 2025'!$G$16)</f>
        <v>0.2049</v>
      </c>
      <c r="Q90" s="68">
        <f t="shared" ref="Q90:Q93" si="110">TRUNC($H90*(1+$P90),2)</f>
        <v>1.1399999999999999</v>
      </c>
      <c r="R90" s="68">
        <f t="shared" ref="R90:R93" si="111">S90-Q90</f>
        <v>95.22</v>
      </c>
      <c r="S90" s="68">
        <f t="shared" ref="S90:S93" si="112">TRUNC($G90*(1+$P90),2)</f>
        <v>96.36</v>
      </c>
      <c r="T90" s="68">
        <f t="shared" ref="T90:T93" si="113">TRUNC(Q90*$F90,2)</f>
        <v>6.66</v>
      </c>
      <c r="U90" s="68">
        <f t="shared" ref="U90:U93" si="114">V90-T90</f>
        <v>557.04000000000008</v>
      </c>
      <c r="V90" s="68">
        <f t="shared" ref="V90:V93" si="115">TRUNC(S90*$F90,2)</f>
        <v>563.70000000000005</v>
      </c>
      <c r="W90" s="68">
        <f t="shared" ref="W90:W93" si="116">TRUNC($H90*(1+$P90-$R$1),2)</f>
        <v>1.1399999999999999</v>
      </c>
      <c r="X90" s="68">
        <f t="shared" ref="X90:X93" si="117">Y90-W90</f>
        <v>95.22</v>
      </c>
      <c r="Y90" s="68">
        <f t="shared" ref="Y90:Y93" si="118">TRUNC($G90*(1+$P90-$R$1),2)</f>
        <v>96.36</v>
      </c>
      <c r="Z90" s="68">
        <f t="shared" ref="Z90:Z93" si="119">TRUNC(W90*$F90,2)</f>
        <v>6.66</v>
      </c>
      <c r="AA90" s="68">
        <f t="shared" ref="AA90:AA93" si="120">AB90-Z90</f>
        <v>557.04000000000008</v>
      </c>
      <c r="AB90" s="68">
        <f t="shared" ref="AB90:AB93" si="121">TRUNC(Y90*$F90,2)</f>
        <v>563.70000000000005</v>
      </c>
    </row>
    <row r="91" spans="1:28" ht="39" customHeight="1" x14ac:dyDescent="0.2">
      <c r="A91" s="82" t="s">
        <v>251</v>
      </c>
      <c r="B91" s="83" t="s">
        <v>252</v>
      </c>
      <c r="C91" s="82" t="s">
        <v>23</v>
      </c>
      <c r="D91" s="82" t="s">
        <v>253</v>
      </c>
      <c r="E91" s="84" t="s">
        <v>32</v>
      </c>
      <c r="F91" s="83">
        <v>9.7725000000000009</v>
      </c>
      <c r="G91" s="85">
        <v>132.58000000000001</v>
      </c>
      <c r="H91" s="85">
        <v>54.51</v>
      </c>
      <c r="I91" s="85">
        <v>78.069999999999993</v>
      </c>
      <c r="J91" s="85">
        <f>TRUNC(G91 * (1 + 0 / 100), 2)</f>
        <v>132.58000000000001</v>
      </c>
      <c r="K91" s="85">
        <f>TRUNC(F91 * H91, 2)</f>
        <v>532.69000000000005</v>
      </c>
      <c r="L91" s="85">
        <f>M91 - K91</f>
        <v>762.94</v>
      </c>
      <c r="M91" s="85">
        <f>TRUNC(F91 * J91, 2)</f>
        <v>1295.6300000000001</v>
      </c>
      <c r="N91" s="86">
        <f t="shared" si="93"/>
        <v>4.8436655656318201E-4</v>
      </c>
      <c r="O91" s="71" t="s">
        <v>359</v>
      </c>
      <c r="P91" s="67">
        <f>IF(O91="BDI  PADRÃO",'BDI 2025'!$E$16,'BDI 2025'!$G$16)</f>
        <v>0.2049</v>
      </c>
      <c r="Q91" s="68">
        <f t="shared" si="110"/>
        <v>65.67</v>
      </c>
      <c r="R91" s="68">
        <f t="shared" si="111"/>
        <v>94.070000000000007</v>
      </c>
      <c r="S91" s="68">
        <f t="shared" si="112"/>
        <v>159.74</v>
      </c>
      <c r="T91" s="68">
        <f t="shared" si="113"/>
        <v>641.76</v>
      </c>
      <c r="U91" s="68">
        <f t="shared" si="114"/>
        <v>919.29</v>
      </c>
      <c r="V91" s="68">
        <f t="shared" si="115"/>
        <v>1561.05</v>
      </c>
      <c r="W91" s="68">
        <f t="shared" si="116"/>
        <v>65.67</v>
      </c>
      <c r="X91" s="68">
        <f t="shared" si="117"/>
        <v>94.070000000000007</v>
      </c>
      <c r="Y91" s="68">
        <f t="shared" si="118"/>
        <v>159.74</v>
      </c>
      <c r="Z91" s="68">
        <f t="shared" si="119"/>
        <v>641.76</v>
      </c>
      <c r="AA91" s="68">
        <f t="shared" si="120"/>
        <v>919.29</v>
      </c>
      <c r="AB91" s="68">
        <f t="shared" si="121"/>
        <v>1561.05</v>
      </c>
    </row>
    <row r="92" spans="1:28" ht="24" customHeight="1" x14ac:dyDescent="0.2">
      <c r="A92" s="82" t="s">
        <v>254</v>
      </c>
      <c r="B92" s="83" t="s">
        <v>191</v>
      </c>
      <c r="C92" s="82" t="s">
        <v>60</v>
      </c>
      <c r="D92" s="82" t="s">
        <v>192</v>
      </c>
      <c r="E92" s="84" t="s">
        <v>193</v>
      </c>
      <c r="F92" s="83">
        <v>12.4</v>
      </c>
      <c r="G92" s="85">
        <v>331.43</v>
      </c>
      <c r="H92" s="85">
        <v>47.15</v>
      </c>
      <c r="I92" s="85">
        <v>284.27999999999997</v>
      </c>
      <c r="J92" s="85">
        <f>TRUNC(G92 * (1 + 0 / 100), 2)</f>
        <v>331.43</v>
      </c>
      <c r="K92" s="85">
        <f>TRUNC(F92 * H92, 2)</f>
        <v>584.66</v>
      </c>
      <c r="L92" s="85">
        <f>M92 - K92</f>
        <v>3525.0699999999997</v>
      </c>
      <c r="M92" s="85">
        <f>TRUNC(F92 * J92, 2)</f>
        <v>4109.7299999999996</v>
      </c>
      <c r="N92" s="86">
        <f t="shared" si="93"/>
        <v>1.5364075920628617E-3</v>
      </c>
      <c r="O92" s="71" t="s">
        <v>359</v>
      </c>
      <c r="P92" s="67">
        <f>IF(O92="BDI  PADRÃO",'BDI 2025'!$E$16,'BDI 2025'!$G$16)</f>
        <v>0.2049</v>
      </c>
      <c r="Q92" s="68">
        <f t="shared" si="110"/>
        <v>56.81</v>
      </c>
      <c r="R92" s="68">
        <f t="shared" si="111"/>
        <v>342.53</v>
      </c>
      <c r="S92" s="68">
        <f t="shared" si="112"/>
        <v>399.34</v>
      </c>
      <c r="T92" s="68">
        <f t="shared" si="113"/>
        <v>704.44</v>
      </c>
      <c r="U92" s="68">
        <f t="shared" si="114"/>
        <v>4247.3700000000008</v>
      </c>
      <c r="V92" s="68">
        <f t="shared" si="115"/>
        <v>4951.8100000000004</v>
      </c>
      <c r="W92" s="68">
        <f t="shared" si="116"/>
        <v>56.81</v>
      </c>
      <c r="X92" s="68">
        <f t="shared" si="117"/>
        <v>342.53</v>
      </c>
      <c r="Y92" s="68">
        <f t="shared" si="118"/>
        <v>399.34</v>
      </c>
      <c r="Z92" s="68">
        <f t="shared" si="119"/>
        <v>704.44</v>
      </c>
      <c r="AA92" s="68">
        <f t="shared" si="120"/>
        <v>4247.3700000000008</v>
      </c>
      <c r="AB92" s="68">
        <f t="shared" si="121"/>
        <v>4951.8100000000004</v>
      </c>
    </row>
    <row r="93" spans="1:28" ht="39" customHeight="1" x14ac:dyDescent="0.2">
      <c r="A93" s="82" t="s">
        <v>255</v>
      </c>
      <c r="B93" s="83" t="s">
        <v>256</v>
      </c>
      <c r="C93" s="82" t="s">
        <v>60</v>
      </c>
      <c r="D93" s="82" t="s">
        <v>257</v>
      </c>
      <c r="E93" s="84" t="s">
        <v>89</v>
      </c>
      <c r="F93" s="83">
        <v>2</v>
      </c>
      <c r="G93" s="85">
        <v>4399.72</v>
      </c>
      <c r="H93" s="85">
        <v>1116.6099999999999</v>
      </c>
      <c r="I93" s="85">
        <v>3283.11</v>
      </c>
      <c r="J93" s="85">
        <f>TRUNC(G93 * (1 + 0 / 100), 2)</f>
        <v>4399.72</v>
      </c>
      <c r="K93" s="85">
        <f>TRUNC(F93 * H93, 2)</f>
        <v>2233.2199999999998</v>
      </c>
      <c r="L93" s="85">
        <f>M93 - K93</f>
        <v>6566.2200000000012</v>
      </c>
      <c r="M93" s="85">
        <f>TRUNC(F93 * J93, 2)</f>
        <v>8799.44</v>
      </c>
      <c r="N93" s="86">
        <f t="shared" si="93"/>
        <v>3.2896385947255974E-3</v>
      </c>
      <c r="O93" s="71" t="s">
        <v>359</v>
      </c>
      <c r="P93" s="67">
        <f>IF(O93="BDI  PADRÃO",'BDI 2025'!$E$16,'BDI 2025'!$G$16)</f>
        <v>0.2049</v>
      </c>
      <c r="Q93" s="68">
        <f t="shared" si="110"/>
        <v>1345.4</v>
      </c>
      <c r="R93" s="68">
        <f t="shared" si="111"/>
        <v>3955.82</v>
      </c>
      <c r="S93" s="68">
        <f t="shared" si="112"/>
        <v>5301.22</v>
      </c>
      <c r="T93" s="68">
        <f t="shared" si="113"/>
        <v>2690.8</v>
      </c>
      <c r="U93" s="68">
        <f t="shared" si="114"/>
        <v>7911.64</v>
      </c>
      <c r="V93" s="68">
        <f t="shared" si="115"/>
        <v>10602.44</v>
      </c>
      <c r="W93" s="68">
        <f t="shared" si="116"/>
        <v>1345.4</v>
      </c>
      <c r="X93" s="68">
        <f t="shared" si="117"/>
        <v>3955.82</v>
      </c>
      <c r="Y93" s="68">
        <f t="shared" si="118"/>
        <v>5301.22</v>
      </c>
      <c r="Z93" s="68">
        <f t="shared" si="119"/>
        <v>2690.8</v>
      </c>
      <c r="AA93" s="68">
        <f t="shared" si="120"/>
        <v>7911.64</v>
      </c>
      <c r="AB93" s="68">
        <f t="shared" si="121"/>
        <v>10602.44</v>
      </c>
    </row>
    <row r="94" spans="1:28" ht="24" customHeight="1" x14ac:dyDescent="0.2">
      <c r="A94" s="78" t="s">
        <v>258</v>
      </c>
      <c r="B94" s="78"/>
      <c r="C94" s="78"/>
      <c r="D94" s="78" t="s">
        <v>108</v>
      </c>
      <c r="E94" s="78"/>
      <c r="F94" s="79"/>
      <c r="G94" s="78"/>
      <c r="H94" s="78"/>
      <c r="I94" s="78"/>
      <c r="J94" s="78"/>
      <c r="K94" s="78"/>
      <c r="L94" s="78"/>
      <c r="M94" s="80">
        <v>26962.55</v>
      </c>
      <c r="N94" s="81">
        <f t="shared" si="93"/>
        <v>1.0079851114641233E-2</v>
      </c>
      <c r="O94" s="69"/>
      <c r="P94" s="69"/>
      <c r="Q94" s="69"/>
      <c r="R94" s="69"/>
      <c r="S94" s="69"/>
      <c r="T94" s="69"/>
      <c r="U94" s="69"/>
      <c r="V94" s="70">
        <f>SUM(V95)</f>
        <v>32485.57</v>
      </c>
      <c r="W94" s="69"/>
      <c r="X94" s="69"/>
      <c r="Y94" s="69"/>
      <c r="Z94" s="69"/>
      <c r="AA94" s="69"/>
      <c r="AB94" s="70">
        <f>SUM(AB95)</f>
        <v>32485.57</v>
      </c>
    </row>
    <row r="95" spans="1:28" ht="39" customHeight="1" x14ac:dyDescent="0.2">
      <c r="A95" s="82" t="s">
        <v>259</v>
      </c>
      <c r="B95" s="83" t="s">
        <v>260</v>
      </c>
      <c r="C95" s="82" t="s">
        <v>23</v>
      </c>
      <c r="D95" s="82" t="s">
        <v>261</v>
      </c>
      <c r="E95" s="84" t="s">
        <v>32</v>
      </c>
      <c r="F95" s="83">
        <v>1591.65</v>
      </c>
      <c r="G95" s="85">
        <v>16.940000000000001</v>
      </c>
      <c r="H95" s="85">
        <v>7.79</v>
      </c>
      <c r="I95" s="85">
        <v>9.15</v>
      </c>
      <c r="J95" s="85">
        <f>TRUNC(G95 * (1 + 0 / 100), 2)</f>
        <v>16.940000000000001</v>
      </c>
      <c r="K95" s="85">
        <f>TRUNC(F95 * H95, 2)</f>
        <v>12398.95</v>
      </c>
      <c r="L95" s="85">
        <f>M95 - K95</f>
        <v>14563.599999999999</v>
      </c>
      <c r="M95" s="85">
        <f>TRUNC(F95 * J95, 2)</f>
        <v>26962.55</v>
      </c>
      <c r="N95" s="86">
        <f t="shared" si="93"/>
        <v>1.0079851114641233E-2</v>
      </c>
      <c r="O95" s="71" t="s">
        <v>359</v>
      </c>
      <c r="P95" s="67">
        <f>IF(O95="BDI  PADRÃO",'BDI 2025'!$E$16,'BDI 2025'!$G$16)</f>
        <v>0.2049</v>
      </c>
      <c r="Q95" s="68">
        <f t="shared" ref="Q95" si="122">TRUNC($H95*(1+$P95),2)</f>
        <v>9.3800000000000008</v>
      </c>
      <c r="R95" s="68">
        <f t="shared" ref="R95" si="123">S95-Q95</f>
        <v>11.03</v>
      </c>
      <c r="S95" s="68">
        <f t="shared" ref="S95" si="124">TRUNC($G95*(1+$P95),2)</f>
        <v>20.41</v>
      </c>
      <c r="T95" s="68">
        <f t="shared" ref="T95" si="125">TRUNC(Q95*$F95,2)</f>
        <v>14929.67</v>
      </c>
      <c r="U95" s="68">
        <f t="shared" ref="U95" si="126">V95-T95</f>
        <v>17555.900000000001</v>
      </c>
      <c r="V95" s="68">
        <f t="shared" ref="V95" si="127">TRUNC(S95*$F95,2)</f>
        <v>32485.57</v>
      </c>
      <c r="W95" s="68">
        <f t="shared" ref="W95" si="128">TRUNC($H95*(1+$P95-$R$1),2)</f>
        <v>9.3800000000000008</v>
      </c>
      <c r="X95" s="68">
        <f t="shared" ref="X95" si="129">Y95-W95</f>
        <v>11.03</v>
      </c>
      <c r="Y95" s="68">
        <f t="shared" ref="Y95" si="130">TRUNC($G95*(1+$P95-$R$1),2)</f>
        <v>20.41</v>
      </c>
      <c r="Z95" s="68">
        <f t="shared" ref="Z95" si="131">TRUNC(W95*$F95,2)</f>
        <v>14929.67</v>
      </c>
      <c r="AA95" s="68">
        <f t="shared" ref="AA95" si="132">AB95-Z95</f>
        <v>17555.900000000001</v>
      </c>
      <c r="AB95" s="68">
        <f t="shared" ref="AB95" si="133">TRUNC(Y95*$F95,2)</f>
        <v>32485.57</v>
      </c>
    </row>
    <row r="96" spans="1:28" ht="24" customHeight="1" x14ac:dyDescent="0.2">
      <c r="A96" s="78" t="s">
        <v>262</v>
      </c>
      <c r="B96" s="78"/>
      <c r="C96" s="78"/>
      <c r="D96" s="78" t="s">
        <v>115</v>
      </c>
      <c r="E96" s="78"/>
      <c r="F96" s="79"/>
      <c r="G96" s="78"/>
      <c r="H96" s="78"/>
      <c r="I96" s="78"/>
      <c r="J96" s="78"/>
      <c r="K96" s="78"/>
      <c r="L96" s="78"/>
      <c r="M96" s="80">
        <v>340113.66</v>
      </c>
      <c r="N96" s="81">
        <f t="shared" si="93"/>
        <v>0.12715025303080418</v>
      </c>
      <c r="O96" s="69"/>
      <c r="P96" s="69"/>
      <c r="Q96" s="69"/>
      <c r="R96" s="69"/>
      <c r="S96" s="69"/>
      <c r="T96" s="69"/>
      <c r="U96" s="69"/>
      <c r="V96" s="70">
        <f>SUM(V97:V112)</f>
        <v>403652.69</v>
      </c>
      <c r="W96" s="69"/>
      <c r="X96" s="69"/>
      <c r="Y96" s="69"/>
      <c r="Z96" s="69"/>
      <c r="AA96" s="69"/>
      <c r="AB96" s="70">
        <f>SUM(AB97:AB112)</f>
        <v>403652.69</v>
      </c>
    </row>
    <row r="97" spans="1:28" ht="26.1" customHeight="1" x14ac:dyDescent="0.2">
      <c r="A97" s="82" t="s">
        <v>263</v>
      </c>
      <c r="B97" s="83" t="s">
        <v>249</v>
      </c>
      <c r="C97" s="82" t="s">
        <v>23</v>
      </c>
      <c r="D97" s="82" t="s">
        <v>250</v>
      </c>
      <c r="E97" s="84" t="s">
        <v>32</v>
      </c>
      <c r="F97" s="83">
        <v>5.85</v>
      </c>
      <c r="G97" s="85">
        <v>79.98</v>
      </c>
      <c r="H97" s="85">
        <v>0.95</v>
      </c>
      <c r="I97" s="85">
        <v>79.03</v>
      </c>
      <c r="J97" s="85">
        <f t="shared" ref="J97:J112" si="134">TRUNC(G97 * (1 + 0 / 100), 2)</f>
        <v>79.98</v>
      </c>
      <c r="K97" s="85">
        <f t="shared" ref="K97:K112" si="135">TRUNC(F97 * H97, 2)</f>
        <v>5.55</v>
      </c>
      <c r="L97" s="85">
        <f t="shared" ref="L97:L112" si="136">M97 - K97</f>
        <v>462.33</v>
      </c>
      <c r="M97" s="85">
        <f t="shared" ref="M97:M112" si="137">TRUNC(F97 * J97, 2)</f>
        <v>467.88</v>
      </c>
      <c r="N97" s="86">
        <f t="shared" si="93"/>
        <v>1.7491523388990805E-4</v>
      </c>
      <c r="O97" s="71" t="s">
        <v>359</v>
      </c>
      <c r="P97" s="67">
        <f>IF(O97="BDI  PADRÃO",'BDI 2025'!$E$16,'BDI 2025'!$G$16)</f>
        <v>0.2049</v>
      </c>
      <c r="Q97" s="68">
        <f t="shared" ref="Q97:Q112" si="138">TRUNC($H97*(1+$P97),2)</f>
        <v>1.1399999999999999</v>
      </c>
      <c r="R97" s="68">
        <f t="shared" ref="R97:R112" si="139">S97-Q97</f>
        <v>95.22</v>
      </c>
      <c r="S97" s="68">
        <f t="shared" ref="S97:S112" si="140">TRUNC($G97*(1+$P97),2)</f>
        <v>96.36</v>
      </c>
      <c r="T97" s="68">
        <f t="shared" ref="T97:T112" si="141">TRUNC(Q97*$F97,2)</f>
        <v>6.66</v>
      </c>
      <c r="U97" s="68">
        <f t="shared" ref="U97:U112" si="142">V97-T97</f>
        <v>557.04000000000008</v>
      </c>
      <c r="V97" s="68">
        <f t="shared" ref="V97:V112" si="143">TRUNC(S97*$F97,2)</f>
        <v>563.70000000000005</v>
      </c>
      <c r="W97" s="68">
        <f t="shared" ref="W97:W112" si="144">TRUNC($H97*(1+$P97-$R$1),2)</f>
        <v>1.1399999999999999</v>
      </c>
      <c r="X97" s="68">
        <f t="shared" ref="X97:X112" si="145">Y97-W97</f>
        <v>95.22</v>
      </c>
      <c r="Y97" s="68">
        <f t="shared" ref="Y97:Y112" si="146">TRUNC($G97*(1+$P97-$R$1),2)</f>
        <v>96.36</v>
      </c>
      <c r="Z97" s="68">
        <f t="shared" ref="Z97:Z112" si="147">TRUNC(W97*$F97,2)</f>
        <v>6.66</v>
      </c>
      <c r="AA97" s="68">
        <f t="shared" ref="AA97:AA112" si="148">AB97-Z97</f>
        <v>557.04000000000008</v>
      </c>
      <c r="AB97" s="68">
        <f t="shared" ref="AB97:AB112" si="149">TRUNC(Y97*$F97,2)</f>
        <v>563.70000000000005</v>
      </c>
    </row>
    <row r="98" spans="1:28" ht="26.1" customHeight="1" x14ac:dyDescent="0.2">
      <c r="A98" s="82" t="s">
        <v>264</v>
      </c>
      <c r="B98" s="83" t="s">
        <v>265</v>
      </c>
      <c r="C98" s="82" t="s">
        <v>23</v>
      </c>
      <c r="D98" s="82" t="s">
        <v>266</v>
      </c>
      <c r="E98" s="84" t="s">
        <v>32</v>
      </c>
      <c r="F98" s="83">
        <v>1047</v>
      </c>
      <c r="G98" s="85">
        <v>154.72</v>
      </c>
      <c r="H98" s="85">
        <v>14.58</v>
      </c>
      <c r="I98" s="85">
        <v>140.13999999999999</v>
      </c>
      <c r="J98" s="85">
        <f t="shared" si="134"/>
        <v>154.72</v>
      </c>
      <c r="K98" s="85">
        <f t="shared" si="135"/>
        <v>15265.26</v>
      </c>
      <c r="L98" s="85">
        <f t="shared" si="136"/>
        <v>146726.57999999999</v>
      </c>
      <c r="M98" s="85">
        <f t="shared" si="137"/>
        <v>161991.84</v>
      </c>
      <c r="N98" s="86">
        <f t="shared" si="93"/>
        <v>6.0560059378166546E-2</v>
      </c>
      <c r="O98" s="71" t="s">
        <v>359</v>
      </c>
      <c r="P98" s="67">
        <f>IF(O98="BDI  PADRÃO",'BDI 2025'!$E$16,'BDI 2025'!$G$16)</f>
        <v>0.2049</v>
      </c>
      <c r="Q98" s="68">
        <f t="shared" si="138"/>
        <v>17.559999999999999</v>
      </c>
      <c r="R98" s="68">
        <f t="shared" si="139"/>
        <v>168.85999999999999</v>
      </c>
      <c r="S98" s="68">
        <f t="shared" si="140"/>
        <v>186.42</v>
      </c>
      <c r="T98" s="68">
        <f t="shared" si="141"/>
        <v>18385.32</v>
      </c>
      <c r="U98" s="68">
        <f t="shared" si="142"/>
        <v>176796.41999999998</v>
      </c>
      <c r="V98" s="68">
        <f t="shared" si="143"/>
        <v>195181.74</v>
      </c>
      <c r="W98" s="68">
        <f t="shared" si="144"/>
        <v>17.559999999999999</v>
      </c>
      <c r="X98" s="68">
        <f t="shared" si="145"/>
        <v>168.85999999999999</v>
      </c>
      <c r="Y98" s="68">
        <f t="shared" si="146"/>
        <v>186.42</v>
      </c>
      <c r="Z98" s="68">
        <f t="shared" si="147"/>
        <v>18385.32</v>
      </c>
      <c r="AA98" s="68">
        <f t="shared" si="148"/>
        <v>176796.41999999998</v>
      </c>
      <c r="AB98" s="68">
        <f t="shared" si="149"/>
        <v>195181.74</v>
      </c>
    </row>
    <row r="99" spans="1:28" ht="26.1" customHeight="1" x14ac:dyDescent="0.2">
      <c r="A99" s="82" t="s">
        <v>267</v>
      </c>
      <c r="B99" s="83" t="s">
        <v>268</v>
      </c>
      <c r="C99" s="82" t="s">
        <v>23</v>
      </c>
      <c r="D99" s="82" t="s">
        <v>269</v>
      </c>
      <c r="E99" s="84" t="s">
        <v>270</v>
      </c>
      <c r="F99" s="83">
        <v>99.54</v>
      </c>
      <c r="G99" s="85">
        <v>10.1</v>
      </c>
      <c r="H99" s="85">
        <v>0.49</v>
      </c>
      <c r="I99" s="85">
        <v>9.61</v>
      </c>
      <c r="J99" s="85">
        <f t="shared" si="134"/>
        <v>10.1</v>
      </c>
      <c r="K99" s="85">
        <f t="shared" si="135"/>
        <v>48.77</v>
      </c>
      <c r="L99" s="85">
        <f t="shared" si="136"/>
        <v>956.58</v>
      </c>
      <c r="M99" s="85">
        <f t="shared" si="137"/>
        <v>1005.35</v>
      </c>
      <c r="N99" s="86">
        <f t="shared" si="93"/>
        <v>3.7584643581948162E-4</v>
      </c>
      <c r="O99" s="71" t="s">
        <v>359</v>
      </c>
      <c r="P99" s="67">
        <f>IF(O99="BDI  PADRÃO",'BDI 2025'!$E$16,'BDI 2025'!$G$16)</f>
        <v>0.2049</v>
      </c>
      <c r="Q99" s="68">
        <f t="shared" si="138"/>
        <v>0.59</v>
      </c>
      <c r="R99" s="68">
        <f t="shared" si="139"/>
        <v>11.57</v>
      </c>
      <c r="S99" s="68">
        <f t="shared" si="140"/>
        <v>12.16</v>
      </c>
      <c r="T99" s="68">
        <f t="shared" si="141"/>
        <v>58.72</v>
      </c>
      <c r="U99" s="68">
        <f t="shared" si="142"/>
        <v>1151.68</v>
      </c>
      <c r="V99" s="68">
        <f t="shared" si="143"/>
        <v>1210.4000000000001</v>
      </c>
      <c r="W99" s="68">
        <f t="shared" si="144"/>
        <v>0.59</v>
      </c>
      <c r="X99" s="68">
        <f t="shared" si="145"/>
        <v>11.57</v>
      </c>
      <c r="Y99" s="68">
        <f t="shared" si="146"/>
        <v>12.16</v>
      </c>
      <c r="Z99" s="68">
        <f t="shared" si="147"/>
        <v>58.72</v>
      </c>
      <c r="AA99" s="68">
        <f t="shared" si="148"/>
        <v>1151.68</v>
      </c>
      <c r="AB99" s="68">
        <f t="shared" si="149"/>
        <v>1210.4000000000001</v>
      </c>
    </row>
    <row r="100" spans="1:28" ht="26.1" customHeight="1" x14ac:dyDescent="0.2">
      <c r="A100" s="82" t="s">
        <v>271</v>
      </c>
      <c r="B100" s="83" t="s">
        <v>272</v>
      </c>
      <c r="C100" s="82" t="s">
        <v>23</v>
      </c>
      <c r="D100" s="82" t="s">
        <v>273</v>
      </c>
      <c r="E100" s="84" t="s">
        <v>270</v>
      </c>
      <c r="F100" s="83">
        <v>207.2</v>
      </c>
      <c r="G100" s="85">
        <v>9.26</v>
      </c>
      <c r="H100" s="85">
        <v>0.26</v>
      </c>
      <c r="I100" s="85">
        <v>9</v>
      </c>
      <c r="J100" s="85">
        <f t="shared" si="134"/>
        <v>9.26</v>
      </c>
      <c r="K100" s="85">
        <f t="shared" si="135"/>
        <v>53.87</v>
      </c>
      <c r="L100" s="85">
        <f t="shared" si="136"/>
        <v>1864.8000000000002</v>
      </c>
      <c r="M100" s="85">
        <f t="shared" si="137"/>
        <v>1918.67</v>
      </c>
      <c r="N100" s="86">
        <f t="shared" si="93"/>
        <v>7.1728779133014859E-4</v>
      </c>
      <c r="O100" s="71" t="s">
        <v>359</v>
      </c>
      <c r="P100" s="67">
        <f>IF(O100="BDI  PADRÃO",'BDI 2025'!$E$16,'BDI 2025'!$G$16)</f>
        <v>0.2049</v>
      </c>
      <c r="Q100" s="68">
        <f t="shared" si="138"/>
        <v>0.31</v>
      </c>
      <c r="R100" s="68">
        <f t="shared" si="139"/>
        <v>10.84</v>
      </c>
      <c r="S100" s="68">
        <f t="shared" si="140"/>
        <v>11.15</v>
      </c>
      <c r="T100" s="68">
        <f t="shared" si="141"/>
        <v>64.23</v>
      </c>
      <c r="U100" s="68">
        <f t="shared" si="142"/>
        <v>2246.0500000000002</v>
      </c>
      <c r="V100" s="68">
        <f t="shared" si="143"/>
        <v>2310.2800000000002</v>
      </c>
      <c r="W100" s="68">
        <f t="shared" si="144"/>
        <v>0.31</v>
      </c>
      <c r="X100" s="68">
        <f t="shared" si="145"/>
        <v>10.84</v>
      </c>
      <c r="Y100" s="68">
        <f t="shared" si="146"/>
        <v>11.15</v>
      </c>
      <c r="Z100" s="68">
        <f t="shared" si="147"/>
        <v>64.23</v>
      </c>
      <c r="AA100" s="68">
        <f t="shared" si="148"/>
        <v>2246.0500000000002</v>
      </c>
      <c r="AB100" s="68">
        <f t="shared" si="149"/>
        <v>2310.2800000000002</v>
      </c>
    </row>
    <row r="101" spans="1:28" ht="39" customHeight="1" x14ac:dyDescent="0.2">
      <c r="A101" s="82" t="s">
        <v>274</v>
      </c>
      <c r="B101" s="83" t="s">
        <v>275</v>
      </c>
      <c r="C101" s="82" t="s">
        <v>23</v>
      </c>
      <c r="D101" s="82" t="s">
        <v>276</v>
      </c>
      <c r="E101" s="84" t="s">
        <v>99</v>
      </c>
      <c r="F101" s="83">
        <v>0.48</v>
      </c>
      <c r="G101" s="85">
        <v>513.98</v>
      </c>
      <c r="H101" s="85">
        <v>80.989999999999995</v>
      </c>
      <c r="I101" s="85">
        <v>432.99</v>
      </c>
      <c r="J101" s="85">
        <f t="shared" si="134"/>
        <v>513.98</v>
      </c>
      <c r="K101" s="85">
        <f t="shared" si="135"/>
        <v>38.869999999999997</v>
      </c>
      <c r="L101" s="85">
        <f t="shared" si="136"/>
        <v>207.84</v>
      </c>
      <c r="M101" s="85">
        <f t="shared" si="137"/>
        <v>246.71</v>
      </c>
      <c r="N101" s="86">
        <f t="shared" si="93"/>
        <v>9.2231634934126738E-5</v>
      </c>
      <c r="O101" s="71" t="s">
        <v>359</v>
      </c>
      <c r="P101" s="67">
        <f>IF(O101="BDI  PADRÃO",'BDI 2025'!$E$16,'BDI 2025'!$G$16)</f>
        <v>0.2049</v>
      </c>
      <c r="Q101" s="68">
        <f t="shared" si="138"/>
        <v>97.58</v>
      </c>
      <c r="R101" s="68">
        <f t="shared" si="139"/>
        <v>521.70999999999992</v>
      </c>
      <c r="S101" s="68">
        <f t="shared" si="140"/>
        <v>619.29</v>
      </c>
      <c r="T101" s="68">
        <f t="shared" si="141"/>
        <v>46.83</v>
      </c>
      <c r="U101" s="68">
        <f t="shared" si="142"/>
        <v>250.42000000000002</v>
      </c>
      <c r="V101" s="68">
        <f t="shared" si="143"/>
        <v>297.25</v>
      </c>
      <c r="W101" s="68">
        <f t="shared" si="144"/>
        <v>97.58</v>
      </c>
      <c r="X101" s="68">
        <f t="shared" si="145"/>
        <v>521.70999999999992</v>
      </c>
      <c r="Y101" s="68">
        <f t="shared" si="146"/>
        <v>619.29</v>
      </c>
      <c r="Z101" s="68">
        <f t="shared" si="147"/>
        <v>46.83</v>
      </c>
      <c r="AA101" s="68">
        <f t="shared" si="148"/>
        <v>250.42000000000002</v>
      </c>
      <c r="AB101" s="68">
        <f t="shared" si="149"/>
        <v>297.25</v>
      </c>
    </row>
    <row r="102" spans="1:28" ht="26.1" customHeight="1" x14ac:dyDescent="0.2">
      <c r="A102" s="82" t="s">
        <v>277</v>
      </c>
      <c r="B102" s="83" t="s">
        <v>278</v>
      </c>
      <c r="C102" s="82" t="s">
        <v>279</v>
      </c>
      <c r="D102" s="82" t="s">
        <v>280</v>
      </c>
      <c r="E102" s="84" t="s">
        <v>281</v>
      </c>
      <c r="F102" s="83">
        <v>2146.9609999999998</v>
      </c>
      <c r="G102" s="85">
        <v>29.52</v>
      </c>
      <c r="H102" s="85">
        <v>13.44</v>
      </c>
      <c r="I102" s="85">
        <v>16.079999999999998</v>
      </c>
      <c r="J102" s="85">
        <f t="shared" si="134"/>
        <v>29.52</v>
      </c>
      <c r="K102" s="85">
        <f t="shared" si="135"/>
        <v>28855.15</v>
      </c>
      <c r="L102" s="85">
        <f t="shared" si="136"/>
        <v>34523.129999999997</v>
      </c>
      <c r="M102" s="85">
        <f t="shared" si="137"/>
        <v>63378.28</v>
      </c>
      <c r="N102" s="86">
        <f t="shared" si="93"/>
        <v>2.3693739141959651E-2</v>
      </c>
      <c r="O102" s="71" t="s">
        <v>404</v>
      </c>
      <c r="P102" s="67">
        <f>IF(O102="BDI  PADRÃO",'BDI 2025'!$E$16,'BDI 2025'!$G$16)</f>
        <v>0.1089</v>
      </c>
      <c r="Q102" s="68">
        <f t="shared" si="138"/>
        <v>14.9</v>
      </c>
      <c r="R102" s="68">
        <f t="shared" si="139"/>
        <v>17.829999999999998</v>
      </c>
      <c r="S102" s="68">
        <f t="shared" si="140"/>
        <v>32.729999999999997</v>
      </c>
      <c r="T102" s="68">
        <f t="shared" si="141"/>
        <v>31989.71</v>
      </c>
      <c r="U102" s="68">
        <f t="shared" si="142"/>
        <v>38280.32</v>
      </c>
      <c r="V102" s="68">
        <f t="shared" si="143"/>
        <v>70270.03</v>
      </c>
      <c r="W102" s="68">
        <f t="shared" si="144"/>
        <v>14.9</v>
      </c>
      <c r="X102" s="68">
        <f t="shared" si="145"/>
        <v>17.829999999999998</v>
      </c>
      <c r="Y102" s="68">
        <f t="shared" si="146"/>
        <v>32.729999999999997</v>
      </c>
      <c r="Z102" s="68">
        <f t="shared" si="147"/>
        <v>31989.71</v>
      </c>
      <c r="AA102" s="68">
        <f t="shared" si="148"/>
        <v>38280.32</v>
      </c>
      <c r="AB102" s="68">
        <f t="shared" si="149"/>
        <v>70270.03</v>
      </c>
    </row>
    <row r="103" spans="1:28" ht="39" customHeight="1" x14ac:dyDescent="0.2">
      <c r="A103" s="82" t="s">
        <v>282</v>
      </c>
      <c r="B103" s="83" t="s">
        <v>283</v>
      </c>
      <c r="C103" s="82" t="s">
        <v>60</v>
      </c>
      <c r="D103" s="82" t="s">
        <v>284</v>
      </c>
      <c r="E103" s="84" t="s">
        <v>32</v>
      </c>
      <c r="F103" s="83">
        <v>130.262</v>
      </c>
      <c r="G103" s="85">
        <v>52.51</v>
      </c>
      <c r="H103" s="85">
        <v>22.32</v>
      </c>
      <c r="I103" s="85">
        <v>30.19</v>
      </c>
      <c r="J103" s="85">
        <f t="shared" si="134"/>
        <v>52.51</v>
      </c>
      <c r="K103" s="85">
        <f t="shared" si="135"/>
        <v>2907.44</v>
      </c>
      <c r="L103" s="85">
        <f t="shared" si="136"/>
        <v>3932.61</v>
      </c>
      <c r="M103" s="85">
        <f t="shared" si="137"/>
        <v>6840.05</v>
      </c>
      <c r="N103" s="86">
        <f t="shared" si="93"/>
        <v>2.5571277797056201E-3</v>
      </c>
      <c r="O103" s="71" t="s">
        <v>359</v>
      </c>
      <c r="P103" s="67">
        <f>IF(O103="BDI  PADRÃO",'BDI 2025'!$E$16,'BDI 2025'!$G$16)</f>
        <v>0.2049</v>
      </c>
      <c r="Q103" s="68">
        <f t="shared" si="138"/>
        <v>26.89</v>
      </c>
      <c r="R103" s="68">
        <f t="shared" si="139"/>
        <v>36.369999999999997</v>
      </c>
      <c r="S103" s="68">
        <f t="shared" si="140"/>
        <v>63.26</v>
      </c>
      <c r="T103" s="68">
        <f t="shared" si="141"/>
        <v>3502.74</v>
      </c>
      <c r="U103" s="68">
        <f t="shared" si="142"/>
        <v>4737.630000000001</v>
      </c>
      <c r="V103" s="68">
        <f t="shared" si="143"/>
        <v>8240.3700000000008</v>
      </c>
      <c r="W103" s="68">
        <f t="shared" si="144"/>
        <v>26.89</v>
      </c>
      <c r="X103" s="68">
        <f t="shared" si="145"/>
        <v>36.369999999999997</v>
      </c>
      <c r="Y103" s="68">
        <f t="shared" si="146"/>
        <v>63.26</v>
      </c>
      <c r="Z103" s="68">
        <f t="shared" si="147"/>
        <v>3502.74</v>
      </c>
      <c r="AA103" s="68">
        <f t="shared" si="148"/>
        <v>4737.630000000001</v>
      </c>
      <c r="AB103" s="68">
        <f t="shared" si="149"/>
        <v>8240.3700000000008</v>
      </c>
    </row>
    <row r="104" spans="1:28" ht="26.1" customHeight="1" x14ac:dyDescent="0.2">
      <c r="A104" s="82" t="s">
        <v>285</v>
      </c>
      <c r="B104" s="83" t="s">
        <v>286</v>
      </c>
      <c r="C104" s="82" t="s">
        <v>60</v>
      </c>
      <c r="D104" s="82" t="s">
        <v>287</v>
      </c>
      <c r="E104" s="84" t="s">
        <v>32</v>
      </c>
      <c r="F104" s="83">
        <v>82.69</v>
      </c>
      <c r="G104" s="85">
        <v>28.64</v>
      </c>
      <c r="H104" s="85">
        <v>14.88</v>
      </c>
      <c r="I104" s="85">
        <v>13.76</v>
      </c>
      <c r="J104" s="85">
        <f t="shared" si="134"/>
        <v>28.64</v>
      </c>
      <c r="K104" s="85">
        <f t="shared" si="135"/>
        <v>1230.42</v>
      </c>
      <c r="L104" s="85">
        <f t="shared" si="136"/>
        <v>1137.8199999999997</v>
      </c>
      <c r="M104" s="85">
        <f t="shared" si="137"/>
        <v>2368.2399999999998</v>
      </c>
      <c r="N104" s="86">
        <f t="shared" si="93"/>
        <v>8.8535789840864286E-4</v>
      </c>
      <c r="O104" s="71" t="s">
        <v>359</v>
      </c>
      <c r="P104" s="67">
        <f>IF(O104="BDI  PADRÃO",'BDI 2025'!$E$16,'BDI 2025'!$G$16)</f>
        <v>0.2049</v>
      </c>
      <c r="Q104" s="68">
        <f t="shared" si="138"/>
        <v>17.920000000000002</v>
      </c>
      <c r="R104" s="68">
        <f t="shared" si="139"/>
        <v>16.579999999999998</v>
      </c>
      <c r="S104" s="68">
        <f t="shared" si="140"/>
        <v>34.5</v>
      </c>
      <c r="T104" s="68">
        <f t="shared" si="141"/>
        <v>1481.8</v>
      </c>
      <c r="U104" s="68">
        <f t="shared" si="142"/>
        <v>1371.0000000000002</v>
      </c>
      <c r="V104" s="68">
        <f t="shared" si="143"/>
        <v>2852.8</v>
      </c>
      <c r="W104" s="68">
        <f t="shared" si="144"/>
        <v>17.920000000000002</v>
      </c>
      <c r="X104" s="68">
        <f t="shared" si="145"/>
        <v>16.579999999999998</v>
      </c>
      <c r="Y104" s="68">
        <f t="shared" si="146"/>
        <v>34.5</v>
      </c>
      <c r="Z104" s="68">
        <f t="shared" si="147"/>
        <v>1481.8</v>
      </c>
      <c r="AA104" s="68">
        <f t="shared" si="148"/>
        <v>1371.0000000000002</v>
      </c>
      <c r="AB104" s="68">
        <f t="shared" si="149"/>
        <v>2852.8</v>
      </c>
    </row>
    <row r="105" spans="1:28" ht="26.1" customHeight="1" x14ac:dyDescent="0.2">
      <c r="A105" s="82" t="s">
        <v>288</v>
      </c>
      <c r="B105" s="83" t="s">
        <v>289</v>
      </c>
      <c r="C105" s="82" t="s">
        <v>60</v>
      </c>
      <c r="D105" s="82" t="s">
        <v>290</v>
      </c>
      <c r="E105" s="84" t="s">
        <v>32</v>
      </c>
      <c r="F105" s="83">
        <v>360</v>
      </c>
      <c r="G105" s="85">
        <v>85.4</v>
      </c>
      <c r="H105" s="85">
        <v>18.739999999999998</v>
      </c>
      <c r="I105" s="85">
        <v>66.66</v>
      </c>
      <c r="J105" s="85">
        <f t="shared" si="134"/>
        <v>85.4</v>
      </c>
      <c r="K105" s="85">
        <f t="shared" si="135"/>
        <v>6746.4</v>
      </c>
      <c r="L105" s="85">
        <f t="shared" si="136"/>
        <v>23997.599999999999</v>
      </c>
      <c r="M105" s="85">
        <f t="shared" si="137"/>
        <v>30744</v>
      </c>
      <c r="N105" s="86">
        <f t="shared" si="93"/>
        <v>1.1493532424363797E-2</v>
      </c>
      <c r="O105" s="71" t="s">
        <v>359</v>
      </c>
      <c r="P105" s="67">
        <f>IF(O105="BDI  PADRÃO",'BDI 2025'!$E$16,'BDI 2025'!$G$16)</f>
        <v>0.2049</v>
      </c>
      <c r="Q105" s="68">
        <f t="shared" si="138"/>
        <v>22.57</v>
      </c>
      <c r="R105" s="68">
        <f t="shared" si="139"/>
        <v>80.319999999999993</v>
      </c>
      <c r="S105" s="68">
        <f t="shared" si="140"/>
        <v>102.89</v>
      </c>
      <c r="T105" s="68">
        <f t="shared" si="141"/>
        <v>8125.2</v>
      </c>
      <c r="U105" s="68">
        <f t="shared" si="142"/>
        <v>28915.200000000001</v>
      </c>
      <c r="V105" s="68">
        <f t="shared" si="143"/>
        <v>37040.400000000001</v>
      </c>
      <c r="W105" s="68">
        <f t="shared" si="144"/>
        <v>22.57</v>
      </c>
      <c r="X105" s="68">
        <f t="shared" si="145"/>
        <v>80.319999999999993</v>
      </c>
      <c r="Y105" s="68">
        <f t="shared" si="146"/>
        <v>102.89</v>
      </c>
      <c r="Z105" s="68">
        <f t="shared" si="147"/>
        <v>8125.2</v>
      </c>
      <c r="AA105" s="68">
        <f t="shared" si="148"/>
        <v>28915.200000000001</v>
      </c>
      <c r="AB105" s="68">
        <f t="shared" si="149"/>
        <v>37040.400000000001</v>
      </c>
    </row>
    <row r="106" spans="1:28" ht="39" customHeight="1" x14ac:dyDescent="0.2">
      <c r="A106" s="82" t="s">
        <v>291</v>
      </c>
      <c r="B106" s="83" t="s">
        <v>292</v>
      </c>
      <c r="C106" s="82" t="s">
        <v>60</v>
      </c>
      <c r="D106" s="82" t="s">
        <v>293</v>
      </c>
      <c r="E106" s="84" t="s">
        <v>32</v>
      </c>
      <c r="F106" s="83">
        <v>720</v>
      </c>
      <c r="G106" s="85">
        <v>30.95</v>
      </c>
      <c r="H106" s="85">
        <v>14.88</v>
      </c>
      <c r="I106" s="85">
        <v>16.07</v>
      </c>
      <c r="J106" s="85">
        <f t="shared" si="134"/>
        <v>30.95</v>
      </c>
      <c r="K106" s="85">
        <f t="shared" si="135"/>
        <v>10713.6</v>
      </c>
      <c r="L106" s="85">
        <f t="shared" si="136"/>
        <v>11570.4</v>
      </c>
      <c r="M106" s="85">
        <f t="shared" si="137"/>
        <v>22284</v>
      </c>
      <c r="N106" s="86">
        <f t="shared" si="93"/>
        <v>8.3307922373316041E-3</v>
      </c>
      <c r="O106" s="71" t="s">
        <v>359</v>
      </c>
      <c r="P106" s="67">
        <f>IF(O106="BDI  PADRÃO",'BDI 2025'!$E$16,'BDI 2025'!$G$16)</f>
        <v>0.2049</v>
      </c>
      <c r="Q106" s="68">
        <f t="shared" si="138"/>
        <v>17.920000000000002</v>
      </c>
      <c r="R106" s="68">
        <f t="shared" si="139"/>
        <v>19.369999999999997</v>
      </c>
      <c r="S106" s="68">
        <f t="shared" si="140"/>
        <v>37.29</v>
      </c>
      <c r="T106" s="68">
        <f t="shared" si="141"/>
        <v>12902.4</v>
      </c>
      <c r="U106" s="68">
        <f t="shared" si="142"/>
        <v>13946.4</v>
      </c>
      <c r="V106" s="68">
        <f t="shared" si="143"/>
        <v>26848.799999999999</v>
      </c>
      <c r="W106" s="68">
        <f t="shared" si="144"/>
        <v>17.920000000000002</v>
      </c>
      <c r="X106" s="68">
        <f t="shared" si="145"/>
        <v>19.369999999999997</v>
      </c>
      <c r="Y106" s="68">
        <f t="shared" si="146"/>
        <v>37.29</v>
      </c>
      <c r="Z106" s="68">
        <f t="shared" si="147"/>
        <v>12902.4</v>
      </c>
      <c r="AA106" s="68">
        <f t="shared" si="148"/>
        <v>13946.4</v>
      </c>
      <c r="AB106" s="68">
        <f t="shared" si="149"/>
        <v>26848.799999999999</v>
      </c>
    </row>
    <row r="107" spans="1:28" ht="51.95" customHeight="1" x14ac:dyDescent="0.2">
      <c r="A107" s="82" t="s">
        <v>294</v>
      </c>
      <c r="B107" s="83" t="s">
        <v>295</v>
      </c>
      <c r="C107" s="82" t="s">
        <v>60</v>
      </c>
      <c r="D107" s="82" t="s">
        <v>296</v>
      </c>
      <c r="E107" s="84" t="s">
        <v>32</v>
      </c>
      <c r="F107" s="83">
        <v>720</v>
      </c>
      <c r="G107" s="85">
        <v>67.34</v>
      </c>
      <c r="H107" s="85">
        <v>22.32</v>
      </c>
      <c r="I107" s="85">
        <v>45.02</v>
      </c>
      <c r="J107" s="85">
        <f t="shared" si="134"/>
        <v>67.34</v>
      </c>
      <c r="K107" s="85">
        <f t="shared" si="135"/>
        <v>16070.4</v>
      </c>
      <c r="L107" s="85">
        <f t="shared" si="136"/>
        <v>32414.400000000001</v>
      </c>
      <c r="M107" s="85">
        <f t="shared" si="137"/>
        <v>48484.800000000003</v>
      </c>
      <c r="N107" s="86">
        <f t="shared" si="93"/>
        <v>1.8125865888914711E-2</v>
      </c>
      <c r="O107" s="71" t="s">
        <v>359</v>
      </c>
      <c r="P107" s="67">
        <f>IF(O107="BDI  PADRÃO",'BDI 2025'!$E$16,'BDI 2025'!$G$16)</f>
        <v>0.2049</v>
      </c>
      <c r="Q107" s="68">
        <f t="shared" si="138"/>
        <v>26.89</v>
      </c>
      <c r="R107" s="68">
        <f t="shared" si="139"/>
        <v>54.239999999999995</v>
      </c>
      <c r="S107" s="68">
        <f t="shared" si="140"/>
        <v>81.13</v>
      </c>
      <c r="T107" s="68">
        <f t="shared" si="141"/>
        <v>19360.8</v>
      </c>
      <c r="U107" s="68">
        <f t="shared" si="142"/>
        <v>39052.800000000003</v>
      </c>
      <c r="V107" s="68">
        <f t="shared" si="143"/>
        <v>58413.599999999999</v>
      </c>
      <c r="W107" s="68">
        <f t="shared" si="144"/>
        <v>26.89</v>
      </c>
      <c r="X107" s="68">
        <f t="shared" si="145"/>
        <v>54.239999999999995</v>
      </c>
      <c r="Y107" s="68">
        <f t="shared" si="146"/>
        <v>81.13</v>
      </c>
      <c r="Z107" s="68">
        <f t="shared" si="147"/>
        <v>19360.8</v>
      </c>
      <c r="AA107" s="68">
        <f t="shared" si="148"/>
        <v>39052.800000000003</v>
      </c>
      <c r="AB107" s="68">
        <f t="shared" si="149"/>
        <v>58413.599999999999</v>
      </c>
    </row>
    <row r="108" spans="1:28" ht="26.1" customHeight="1" x14ac:dyDescent="0.2">
      <c r="A108" s="87" t="s">
        <v>297</v>
      </c>
      <c r="B108" s="88" t="s">
        <v>298</v>
      </c>
      <c r="C108" s="87" t="s">
        <v>23</v>
      </c>
      <c r="D108" s="87" t="s">
        <v>299</v>
      </c>
      <c r="E108" s="89" t="s">
        <v>300</v>
      </c>
      <c r="F108" s="88">
        <v>2</v>
      </c>
      <c r="G108" s="90">
        <v>102</v>
      </c>
      <c r="H108" s="90">
        <v>0</v>
      </c>
      <c r="I108" s="90">
        <v>102</v>
      </c>
      <c r="J108" s="90">
        <f t="shared" si="134"/>
        <v>102</v>
      </c>
      <c r="K108" s="90">
        <f t="shared" si="135"/>
        <v>0</v>
      </c>
      <c r="L108" s="90">
        <f t="shared" si="136"/>
        <v>204</v>
      </c>
      <c r="M108" s="90">
        <f t="shared" si="137"/>
        <v>204</v>
      </c>
      <c r="N108" s="91">
        <f t="shared" si="93"/>
        <v>7.6264656992265631E-5</v>
      </c>
      <c r="O108" s="72" t="s">
        <v>404</v>
      </c>
      <c r="P108" s="73">
        <f>IF(O108="BDI  PADRÃO",'BDI 2025'!$E$16,'BDI 2025'!$G$16)</f>
        <v>0.1089</v>
      </c>
      <c r="Q108" s="68">
        <f t="shared" si="138"/>
        <v>0</v>
      </c>
      <c r="R108" s="68">
        <f t="shared" si="139"/>
        <v>113.1</v>
      </c>
      <c r="S108" s="68">
        <f t="shared" si="140"/>
        <v>113.1</v>
      </c>
      <c r="T108" s="68">
        <f t="shared" si="141"/>
        <v>0</v>
      </c>
      <c r="U108" s="68">
        <f t="shared" si="142"/>
        <v>226.2</v>
      </c>
      <c r="V108" s="68">
        <f t="shared" si="143"/>
        <v>226.2</v>
      </c>
      <c r="W108" s="68">
        <f t="shared" si="144"/>
        <v>0</v>
      </c>
      <c r="X108" s="68">
        <f t="shared" si="145"/>
        <v>113.1</v>
      </c>
      <c r="Y108" s="68">
        <f t="shared" si="146"/>
        <v>113.1</v>
      </c>
      <c r="Z108" s="68">
        <f t="shared" si="147"/>
        <v>0</v>
      </c>
      <c r="AA108" s="68">
        <f t="shared" si="148"/>
        <v>226.2</v>
      </c>
      <c r="AB108" s="68">
        <f t="shared" si="149"/>
        <v>226.2</v>
      </c>
    </row>
    <row r="109" spans="1:28" ht="24" customHeight="1" x14ac:dyDescent="0.2">
      <c r="A109" s="87" t="s">
        <v>301</v>
      </c>
      <c r="B109" s="88" t="s">
        <v>302</v>
      </c>
      <c r="C109" s="87" t="s">
        <v>60</v>
      </c>
      <c r="D109" s="87" t="s">
        <v>303</v>
      </c>
      <c r="E109" s="89" t="s">
        <v>89</v>
      </c>
      <c r="F109" s="88">
        <v>384</v>
      </c>
      <c r="G109" s="90">
        <v>0.12</v>
      </c>
      <c r="H109" s="90">
        <v>0</v>
      </c>
      <c r="I109" s="90">
        <v>0.12</v>
      </c>
      <c r="J109" s="90">
        <f t="shared" si="134"/>
        <v>0.12</v>
      </c>
      <c r="K109" s="90">
        <f t="shared" si="135"/>
        <v>0</v>
      </c>
      <c r="L109" s="90">
        <f t="shared" si="136"/>
        <v>46.08</v>
      </c>
      <c r="M109" s="90">
        <f t="shared" si="137"/>
        <v>46.08</v>
      </c>
      <c r="N109" s="91">
        <f t="shared" si="93"/>
        <v>1.7226840167664705E-5</v>
      </c>
      <c r="O109" s="72" t="s">
        <v>404</v>
      </c>
      <c r="P109" s="73">
        <f>IF(O109="BDI  PADRÃO",'BDI 2025'!$E$16,'BDI 2025'!$G$16)</f>
        <v>0.1089</v>
      </c>
      <c r="Q109" s="68">
        <f t="shared" si="138"/>
        <v>0</v>
      </c>
      <c r="R109" s="68">
        <f t="shared" si="139"/>
        <v>0.13</v>
      </c>
      <c r="S109" s="68">
        <f t="shared" si="140"/>
        <v>0.13</v>
      </c>
      <c r="T109" s="68">
        <f t="shared" si="141"/>
        <v>0</v>
      </c>
      <c r="U109" s="68">
        <f t="shared" si="142"/>
        <v>49.92</v>
      </c>
      <c r="V109" s="68">
        <f t="shared" si="143"/>
        <v>49.92</v>
      </c>
      <c r="W109" s="68">
        <f t="shared" si="144"/>
        <v>0</v>
      </c>
      <c r="X109" s="68">
        <f t="shared" si="145"/>
        <v>0.13</v>
      </c>
      <c r="Y109" s="68">
        <f t="shared" si="146"/>
        <v>0.13</v>
      </c>
      <c r="Z109" s="68">
        <f t="shared" si="147"/>
        <v>0</v>
      </c>
      <c r="AA109" s="68">
        <f t="shared" si="148"/>
        <v>49.92</v>
      </c>
      <c r="AB109" s="68">
        <f t="shared" si="149"/>
        <v>49.92</v>
      </c>
    </row>
    <row r="110" spans="1:28" ht="24" customHeight="1" x14ac:dyDescent="0.2">
      <c r="A110" s="87" t="s">
        <v>304</v>
      </c>
      <c r="B110" s="88" t="s">
        <v>305</v>
      </c>
      <c r="C110" s="87" t="s">
        <v>23</v>
      </c>
      <c r="D110" s="87" t="s">
        <v>306</v>
      </c>
      <c r="E110" s="89" t="s">
        <v>65</v>
      </c>
      <c r="F110" s="88">
        <v>192</v>
      </c>
      <c r="G110" s="90">
        <v>0.2</v>
      </c>
      <c r="H110" s="90">
        <v>0</v>
      </c>
      <c r="I110" s="90">
        <v>0.2</v>
      </c>
      <c r="J110" s="90">
        <f t="shared" si="134"/>
        <v>0.2</v>
      </c>
      <c r="K110" s="90">
        <f t="shared" si="135"/>
        <v>0</v>
      </c>
      <c r="L110" s="90">
        <f t="shared" si="136"/>
        <v>38.4</v>
      </c>
      <c r="M110" s="90">
        <f t="shared" si="137"/>
        <v>38.4</v>
      </c>
      <c r="N110" s="91">
        <f t="shared" si="93"/>
        <v>1.4355700139720589E-5</v>
      </c>
      <c r="O110" s="72" t="s">
        <v>404</v>
      </c>
      <c r="P110" s="73">
        <f>IF(O110="BDI  PADRÃO",'BDI 2025'!$E$16,'BDI 2025'!$G$16)</f>
        <v>0.1089</v>
      </c>
      <c r="Q110" s="68">
        <f t="shared" si="138"/>
        <v>0</v>
      </c>
      <c r="R110" s="68">
        <f t="shared" si="139"/>
        <v>0.22</v>
      </c>
      <c r="S110" s="68">
        <f t="shared" si="140"/>
        <v>0.22</v>
      </c>
      <c r="T110" s="68">
        <f t="shared" si="141"/>
        <v>0</v>
      </c>
      <c r="U110" s="68">
        <f t="shared" si="142"/>
        <v>42.24</v>
      </c>
      <c r="V110" s="68">
        <f t="shared" si="143"/>
        <v>42.24</v>
      </c>
      <c r="W110" s="68">
        <f t="shared" si="144"/>
        <v>0</v>
      </c>
      <c r="X110" s="68">
        <f t="shared" si="145"/>
        <v>0.22</v>
      </c>
      <c r="Y110" s="68">
        <f t="shared" si="146"/>
        <v>0.22</v>
      </c>
      <c r="Z110" s="68">
        <f t="shared" si="147"/>
        <v>0</v>
      </c>
      <c r="AA110" s="68">
        <f t="shared" si="148"/>
        <v>42.24</v>
      </c>
      <c r="AB110" s="68">
        <f t="shared" si="149"/>
        <v>42.24</v>
      </c>
    </row>
    <row r="111" spans="1:28" ht="24" customHeight="1" x14ac:dyDescent="0.2">
      <c r="A111" s="87" t="s">
        <v>307</v>
      </c>
      <c r="B111" s="88" t="s">
        <v>308</v>
      </c>
      <c r="C111" s="87" t="s">
        <v>60</v>
      </c>
      <c r="D111" s="87" t="s">
        <v>309</v>
      </c>
      <c r="E111" s="89" t="s">
        <v>89</v>
      </c>
      <c r="F111" s="88">
        <v>64</v>
      </c>
      <c r="G111" s="90">
        <v>1</v>
      </c>
      <c r="H111" s="90">
        <v>0</v>
      </c>
      <c r="I111" s="90">
        <v>1</v>
      </c>
      <c r="J111" s="90">
        <f t="shared" si="134"/>
        <v>1</v>
      </c>
      <c r="K111" s="90">
        <f t="shared" si="135"/>
        <v>0</v>
      </c>
      <c r="L111" s="90">
        <f t="shared" si="136"/>
        <v>64</v>
      </c>
      <c r="M111" s="90">
        <f t="shared" si="137"/>
        <v>64</v>
      </c>
      <c r="N111" s="91">
        <f t="shared" si="93"/>
        <v>2.3926166899534314E-5</v>
      </c>
      <c r="O111" s="72" t="s">
        <v>404</v>
      </c>
      <c r="P111" s="73">
        <f>IF(O111="BDI  PADRÃO",'BDI 2025'!$E$16,'BDI 2025'!$G$16)</f>
        <v>0.1089</v>
      </c>
      <c r="Q111" s="68">
        <f t="shared" si="138"/>
        <v>0</v>
      </c>
      <c r="R111" s="68">
        <f t="shared" si="139"/>
        <v>1.1000000000000001</v>
      </c>
      <c r="S111" s="68">
        <f t="shared" si="140"/>
        <v>1.1000000000000001</v>
      </c>
      <c r="T111" s="68">
        <f t="shared" si="141"/>
        <v>0</v>
      </c>
      <c r="U111" s="68">
        <f t="shared" si="142"/>
        <v>70.400000000000006</v>
      </c>
      <c r="V111" s="68">
        <f t="shared" si="143"/>
        <v>70.400000000000006</v>
      </c>
      <c r="W111" s="68">
        <f t="shared" si="144"/>
        <v>0</v>
      </c>
      <c r="X111" s="68">
        <f t="shared" si="145"/>
        <v>1.1000000000000001</v>
      </c>
      <c r="Y111" s="68">
        <f t="shared" si="146"/>
        <v>1.1000000000000001</v>
      </c>
      <c r="Z111" s="68">
        <f t="shared" si="147"/>
        <v>0</v>
      </c>
      <c r="AA111" s="68">
        <f t="shared" si="148"/>
        <v>70.400000000000006</v>
      </c>
      <c r="AB111" s="68">
        <f t="shared" si="149"/>
        <v>70.400000000000006</v>
      </c>
    </row>
    <row r="112" spans="1:28" ht="24" customHeight="1" x14ac:dyDescent="0.2">
      <c r="A112" s="87" t="s">
        <v>310</v>
      </c>
      <c r="B112" s="88" t="s">
        <v>311</v>
      </c>
      <c r="C112" s="87" t="s">
        <v>23</v>
      </c>
      <c r="D112" s="87" t="s">
        <v>312</v>
      </c>
      <c r="E112" s="89" t="s">
        <v>65</v>
      </c>
      <c r="F112" s="88">
        <v>64</v>
      </c>
      <c r="G112" s="90">
        <v>0.49</v>
      </c>
      <c r="H112" s="90">
        <v>0</v>
      </c>
      <c r="I112" s="90">
        <v>0.49</v>
      </c>
      <c r="J112" s="90">
        <f t="shared" si="134"/>
        <v>0.49</v>
      </c>
      <c r="K112" s="90">
        <f t="shared" si="135"/>
        <v>0</v>
      </c>
      <c r="L112" s="90">
        <f t="shared" si="136"/>
        <v>31.36</v>
      </c>
      <c r="M112" s="90">
        <f t="shared" si="137"/>
        <v>31.36</v>
      </c>
      <c r="N112" s="91">
        <f t="shared" si="93"/>
        <v>1.1723821780771815E-5</v>
      </c>
      <c r="O112" s="72" t="s">
        <v>404</v>
      </c>
      <c r="P112" s="73">
        <f>IF(O112="BDI  PADRÃO",'BDI 2025'!$E$16,'BDI 2025'!$G$16)</f>
        <v>0.1089</v>
      </c>
      <c r="Q112" s="68">
        <f t="shared" si="138"/>
        <v>0</v>
      </c>
      <c r="R112" s="68">
        <f t="shared" si="139"/>
        <v>0.54</v>
      </c>
      <c r="S112" s="68">
        <f t="shared" si="140"/>
        <v>0.54</v>
      </c>
      <c r="T112" s="68">
        <f t="shared" si="141"/>
        <v>0</v>
      </c>
      <c r="U112" s="68">
        <f t="shared" si="142"/>
        <v>34.56</v>
      </c>
      <c r="V112" s="68">
        <f t="shared" si="143"/>
        <v>34.56</v>
      </c>
      <c r="W112" s="68">
        <f t="shared" si="144"/>
        <v>0</v>
      </c>
      <c r="X112" s="68">
        <f t="shared" si="145"/>
        <v>0.54</v>
      </c>
      <c r="Y112" s="68">
        <f t="shared" si="146"/>
        <v>0.54</v>
      </c>
      <c r="Z112" s="68">
        <f t="shared" si="147"/>
        <v>0</v>
      </c>
      <c r="AA112" s="68">
        <f t="shared" si="148"/>
        <v>34.56</v>
      </c>
      <c r="AB112" s="68">
        <f t="shared" si="149"/>
        <v>34.56</v>
      </c>
    </row>
    <row r="113" spans="1:28" ht="24" customHeight="1" x14ac:dyDescent="0.2">
      <c r="A113" s="78" t="s">
        <v>313</v>
      </c>
      <c r="B113" s="78"/>
      <c r="C113" s="78"/>
      <c r="D113" s="78" t="s">
        <v>120</v>
      </c>
      <c r="E113" s="78"/>
      <c r="F113" s="79"/>
      <c r="G113" s="78"/>
      <c r="H113" s="78"/>
      <c r="I113" s="78"/>
      <c r="J113" s="78"/>
      <c r="K113" s="78"/>
      <c r="L113" s="78"/>
      <c r="M113" s="80">
        <v>162357.04999999999</v>
      </c>
      <c r="N113" s="81">
        <f t="shared" si="93"/>
        <v>6.069659180650059E-2</v>
      </c>
      <c r="O113" s="69"/>
      <c r="P113" s="69"/>
      <c r="Q113" s="69"/>
      <c r="R113" s="69"/>
      <c r="S113" s="69"/>
      <c r="T113" s="69"/>
      <c r="U113" s="69"/>
      <c r="V113" s="70">
        <f>SUM(V114:V118)</f>
        <v>195618.12</v>
      </c>
      <c r="W113" s="69"/>
      <c r="X113" s="69"/>
      <c r="Y113" s="69"/>
      <c r="Z113" s="69"/>
      <c r="AA113" s="69"/>
      <c r="AB113" s="70">
        <f>SUM(AB114:AB118)</f>
        <v>195618.12</v>
      </c>
    </row>
    <row r="114" spans="1:28" ht="24" customHeight="1" x14ac:dyDescent="0.2">
      <c r="A114" s="82" t="s">
        <v>314</v>
      </c>
      <c r="B114" s="83" t="s">
        <v>315</v>
      </c>
      <c r="C114" s="82" t="s">
        <v>48</v>
      </c>
      <c r="D114" s="82" t="s">
        <v>316</v>
      </c>
      <c r="E114" s="84" t="s">
        <v>32</v>
      </c>
      <c r="F114" s="83">
        <v>292.73</v>
      </c>
      <c r="G114" s="85">
        <v>297.75</v>
      </c>
      <c r="H114" s="85">
        <v>5.64</v>
      </c>
      <c r="I114" s="85">
        <v>292.11</v>
      </c>
      <c r="J114" s="85">
        <f>TRUNC(G114 * (1 + 0 / 100), 2)</f>
        <v>297.75</v>
      </c>
      <c r="K114" s="85">
        <f>TRUNC(F114 * H114, 2)</f>
        <v>1650.99</v>
      </c>
      <c r="L114" s="85">
        <f>M114 - K114</f>
        <v>85509.36</v>
      </c>
      <c r="M114" s="85">
        <f>TRUNC(F114 * J114, 2)</f>
        <v>87160.35</v>
      </c>
      <c r="N114" s="86">
        <f t="shared" si="93"/>
        <v>3.2584579392528533E-2</v>
      </c>
      <c r="O114" s="71" t="s">
        <v>359</v>
      </c>
      <c r="P114" s="67">
        <f>IF(O114="BDI  PADRÃO",'BDI 2025'!$E$16,'BDI 2025'!$G$16)</f>
        <v>0.2049</v>
      </c>
      <c r="Q114" s="68">
        <f t="shared" ref="Q114:Q118" si="150">TRUNC($H114*(1+$P114),2)</f>
        <v>6.79</v>
      </c>
      <c r="R114" s="68">
        <f t="shared" ref="R114:R118" si="151">S114-Q114</f>
        <v>351.96</v>
      </c>
      <c r="S114" s="68">
        <f t="shared" ref="S114:S118" si="152">TRUNC($G114*(1+$P114),2)</f>
        <v>358.75</v>
      </c>
      <c r="T114" s="68">
        <f t="shared" ref="T114:T118" si="153">TRUNC(Q114*$F114,2)</f>
        <v>1987.63</v>
      </c>
      <c r="U114" s="68">
        <f t="shared" ref="U114:U118" si="154">V114-T114</f>
        <v>103029.25</v>
      </c>
      <c r="V114" s="68">
        <f t="shared" ref="V114:V118" si="155">TRUNC(S114*$F114,2)</f>
        <v>105016.88</v>
      </c>
      <c r="W114" s="68">
        <f t="shared" ref="W114:W118" si="156">TRUNC($H114*(1+$P114-$R$1),2)</f>
        <v>6.79</v>
      </c>
      <c r="X114" s="68">
        <f t="shared" ref="X114:X118" si="157">Y114-W114</f>
        <v>351.96</v>
      </c>
      <c r="Y114" s="68">
        <f t="shared" ref="Y114:Y118" si="158">TRUNC($G114*(1+$P114-$R$1),2)</f>
        <v>358.75</v>
      </c>
      <c r="Z114" s="68">
        <f t="shared" ref="Z114:Z118" si="159">TRUNC(W114*$F114,2)</f>
        <v>1987.63</v>
      </c>
      <c r="AA114" s="68">
        <f t="shared" ref="AA114:AA118" si="160">AB114-Z114</f>
        <v>103029.25</v>
      </c>
      <c r="AB114" s="68">
        <f t="shared" ref="AB114:AB118" si="161">TRUNC(Y114*$F114,2)</f>
        <v>105016.88</v>
      </c>
    </row>
    <row r="115" spans="1:28" ht="39" customHeight="1" x14ac:dyDescent="0.2">
      <c r="A115" s="82" t="s">
        <v>317</v>
      </c>
      <c r="B115" s="83" t="s">
        <v>292</v>
      </c>
      <c r="C115" s="82" t="s">
        <v>60</v>
      </c>
      <c r="D115" s="82" t="s">
        <v>293</v>
      </c>
      <c r="E115" s="84" t="s">
        <v>32</v>
      </c>
      <c r="F115" s="83">
        <v>292.73</v>
      </c>
      <c r="G115" s="85">
        <v>30.95</v>
      </c>
      <c r="H115" s="85">
        <v>14.88</v>
      </c>
      <c r="I115" s="85">
        <v>16.07</v>
      </c>
      <c r="J115" s="85">
        <f>TRUNC(G115 * (1 + 0 / 100), 2)</f>
        <v>30.95</v>
      </c>
      <c r="K115" s="85">
        <f>TRUNC(F115 * H115, 2)</f>
        <v>4355.82</v>
      </c>
      <c r="L115" s="85">
        <f>M115 - K115</f>
        <v>4704.17</v>
      </c>
      <c r="M115" s="85">
        <f>TRUNC(F115 * J115, 2)</f>
        <v>9059.99</v>
      </c>
      <c r="N115" s="86">
        <f t="shared" si="93"/>
        <v>3.3870442632517486E-3</v>
      </c>
      <c r="O115" s="71" t="s">
        <v>359</v>
      </c>
      <c r="P115" s="67">
        <f>IF(O115="BDI  PADRÃO",'BDI 2025'!$E$16,'BDI 2025'!$G$16)</f>
        <v>0.2049</v>
      </c>
      <c r="Q115" s="68">
        <f t="shared" si="150"/>
        <v>17.920000000000002</v>
      </c>
      <c r="R115" s="68">
        <f t="shared" si="151"/>
        <v>19.369999999999997</v>
      </c>
      <c r="S115" s="68">
        <f t="shared" si="152"/>
        <v>37.29</v>
      </c>
      <c r="T115" s="68">
        <f t="shared" si="153"/>
        <v>5245.72</v>
      </c>
      <c r="U115" s="68">
        <f t="shared" si="154"/>
        <v>5670.1799999999994</v>
      </c>
      <c r="V115" s="68">
        <f t="shared" si="155"/>
        <v>10915.9</v>
      </c>
      <c r="W115" s="68">
        <f t="shared" si="156"/>
        <v>17.920000000000002</v>
      </c>
      <c r="X115" s="68">
        <f t="shared" si="157"/>
        <v>19.369999999999997</v>
      </c>
      <c r="Y115" s="68">
        <f t="shared" si="158"/>
        <v>37.29</v>
      </c>
      <c r="Z115" s="68">
        <f t="shared" si="159"/>
        <v>5245.72</v>
      </c>
      <c r="AA115" s="68">
        <f t="shared" si="160"/>
        <v>5670.1799999999994</v>
      </c>
      <c r="AB115" s="68">
        <f t="shared" si="161"/>
        <v>10915.9</v>
      </c>
    </row>
    <row r="116" spans="1:28" ht="51.95" customHeight="1" x14ac:dyDescent="0.2">
      <c r="A116" s="82" t="s">
        <v>318</v>
      </c>
      <c r="B116" s="83" t="s">
        <v>295</v>
      </c>
      <c r="C116" s="82" t="s">
        <v>60</v>
      </c>
      <c r="D116" s="82" t="s">
        <v>296</v>
      </c>
      <c r="E116" s="84" t="s">
        <v>32</v>
      </c>
      <c r="F116" s="83">
        <v>292.73</v>
      </c>
      <c r="G116" s="85">
        <v>67.34</v>
      </c>
      <c r="H116" s="85">
        <v>22.32</v>
      </c>
      <c r="I116" s="85">
        <v>45.02</v>
      </c>
      <c r="J116" s="85">
        <f>TRUNC(G116 * (1 + 0 / 100), 2)</f>
        <v>67.34</v>
      </c>
      <c r="K116" s="85">
        <f>TRUNC(F116 * H116, 2)</f>
        <v>6533.73</v>
      </c>
      <c r="L116" s="85">
        <f>M116 - K116</f>
        <v>13178.7</v>
      </c>
      <c r="M116" s="85">
        <f>TRUNC(F116 * J116, 2)</f>
        <v>19712.43</v>
      </c>
      <c r="N116" s="86">
        <f t="shared" si="93"/>
        <v>7.3694201589904256E-3</v>
      </c>
      <c r="O116" s="71" t="s">
        <v>359</v>
      </c>
      <c r="P116" s="67">
        <f>IF(O116="BDI  PADRÃO",'BDI 2025'!$E$16,'BDI 2025'!$G$16)</f>
        <v>0.2049</v>
      </c>
      <c r="Q116" s="68">
        <f t="shared" si="150"/>
        <v>26.89</v>
      </c>
      <c r="R116" s="68">
        <f t="shared" si="151"/>
        <v>54.239999999999995</v>
      </c>
      <c r="S116" s="68">
        <f t="shared" si="152"/>
        <v>81.13</v>
      </c>
      <c r="T116" s="68">
        <f t="shared" si="153"/>
        <v>7871.5</v>
      </c>
      <c r="U116" s="68">
        <f t="shared" si="154"/>
        <v>15877.68</v>
      </c>
      <c r="V116" s="68">
        <f t="shared" si="155"/>
        <v>23749.18</v>
      </c>
      <c r="W116" s="68">
        <f t="shared" si="156"/>
        <v>26.89</v>
      </c>
      <c r="X116" s="68">
        <f t="shared" si="157"/>
        <v>54.239999999999995</v>
      </c>
      <c r="Y116" s="68">
        <f t="shared" si="158"/>
        <v>81.13</v>
      </c>
      <c r="Z116" s="68">
        <f t="shared" si="159"/>
        <v>7871.5</v>
      </c>
      <c r="AA116" s="68">
        <f t="shared" si="160"/>
        <v>15877.68</v>
      </c>
      <c r="AB116" s="68">
        <f t="shared" si="161"/>
        <v>23749.18</v>
      </c>
    </row>
    <row r="117" spans="1:28" ht="39" customHeight="1" x14ac:dyDescent="0.2">
      <c r="A117" s="82" t="s">
        <v>319</v>
      </c>
      <c r="B117" s="83" t="s">
        <v>320</v>
      </c>
      <c r="C117" s="82" t="s">
        <v>23</v>
      </c>
      <c r="D117" s="82" t="s">
        <v>321</v>
      </c>
      <c r="E117" s="84" t="s">
        <v>32</v>
      </c>
      <c r="F117" s="83">
        <v>199.4</v>
      </c>
      <c r="G117" s="85">
        <v>232.71</v>
      </c>
      <c r="H117" s="85">
        <v>47.91</v>
      </c>
      <c r="I117" s="85">
        <v>184.8</v>
      </c>
      <c r="J117" s="85">
        <f>TRUNC(G117 * (1 + 0 / 100), 2)</f>
        <v>232.71</v>
      </c>
      <c r="K117" s="85">
        <f>TRUNC(F117 * H117, 2)</f>
        <v>9553.25</v>
      </c>
      <c r="L117" s="85">
        <f>M117 - K117</f>
        <v>36849.120000000003</v>
      </c>
      <c r="M117" s="85">
        <f>TRUNC(F117 * J117, 2)</f>
        <v>46402.37</v>
      </c>
      <c r="N117" s="86">
        <f t="shared" si="93"/>
        <v>1.7347357018030377E-2</v>
      </c>
      <c r="O117" s="71" t="s">
        <v>359</v>
      </c>
      <c r="P117" s="67">
        <f>IF(O117="BDI  PADRÃO",'BDI 2025'!$E$16,'BDI 2025'!$G$16)</f>
        <v>0.2049</v>
      </c>
      <c r="Q117" s="68">
        <f t="shared" si="150"/>
        <v>57.72</v>
      </c>
      <c r="R117" s="68">
        <f t="shared" si="151"/>
        <v>222.67</v>
      </c>
      <c r="S117" s="68">
        <f t="shared" si="152"/>
        <v>280.39</v>
      </c>
      <c r="T117" s="68">
        <f t="shared" si="153"/>
        <v>11509.36</v>
      </c>
      <c r="U117" s="68">
        <f t="shared" si="154"/>
        <v>44400.4</v>
      </c>
      <c r="V117" s="68">
        <f t="shared" si="155"/>
        <v>55909.760000000002</v>
      </c>
      <c r="W117" s="68">
        <f t="shared" si="156"/>
        <v>57.72</v>
      </c>
      <c r="X117" s="68">
        <f t="shared" si="157"/>
        <v>222.67</v>
      </c>
      <c r="Y117" s="68">
        <f t="shared" si="158"/>
        <v>280.39</v>
      </c>
      <c r="Z117" s="68">
        <f t="shared" si="159"/>
        <v>11509.36</v>
      </c>
      <c r="AA117" s="68">
        <f t="shared" si="160"/>
        <v>44400.4</v>
      </c>
      <c r="AB117" s="68">
        <f t="shared" si="161"/>
        <v>55909.760000000002</v>
      </c>
    </row>
    <row r="118" spans="1:28" ht="26.1" customHeight="1" x14ac:dyDescent="0.2">
      <c r="A118" s="82" t="s">
        <v>322</v>
      </c>
      <c r="B118" s="83" t="s">
        <v>323</v>
      </c>
      <c r="C118" s="82" t="s">
        <v>23</v>
      </c>
      <c r="D118" s="82" t="s">
        <v>324</v>
      </c>
      <c r="E118" s="84" t="s">
        <v>45</v>
      </c>
      <c r="F118" s="83">
        <v>0.8</v>
      </c>
      <c r="G118" s="85">
        <v>27.39</v>
      </c>
      <c r="H118" s="85">
        <v>4.79</v>
      </c>
      <c r="I118" s="85">
        <v>22.6</v>
      </c>
      <c r="J118" s="85">
        <f>TRUNC(G118 * (1 + 0 / 100), 2)</f>
        <v>27.39</v>
      </c>
      <c r="K118" s="85">
        <f>TRUNC(F118 * H118, 2)</f>
        <v>3.83</v>
      </c>
      <c r="L118" s="85">
        <f>M118 - K118</f>
        <v>18.079999999999998</v>
      </c>
      <c r="M118" s="85">
        <f>TRUNC(F118 * J118, 2)</f>
        <v>21.91</v>
      </c>
      <c r="N118" s="86">
        <f t="shared" si="93"/>
        <v>8.1909736995124503E-6</v>
      </c>
      <c r="O118" s="71" t="s">
        <v>359</v>
      </c>
      <c r="P118" s="67">
        <f>IF(O118="BDI  PADRÃO",'BDI 2025'!$E$16,'BDI 2025'!$G$16)</f>
        <v>0.2049</v>
      </c>
      <c r="Q118" s="68">
        <f t="shared" si="150"/>
        <v>5.77</v>
      </c>
      <c r="R118" s="68">
        <f t="shared" si="151"/>
        <v>27.23</v>
      </c>
      <c r="S118" s="68">
        <f t="shared" si="152"/>
        <v>33</v>
      </c>
      <c r="T118" s="68">
        <f t="shared" si="153"/>
        <v>4.6100000000000003</v>
      </c>
      <c r="U118" s="68">
        <f t="shared" si="154"/>
        <v>21.79</v>
      </c>
      <c r="V118" s="68">
        <f t="shared" si="155"/>
        <v>26.4</v>
      </c>
      <c r="W118" s="68">
        <f t="shared" si="156"/>
        <v>5.77</v>
      </c>
      <c r="X118" s="68">
        <f t="shared" si="157"/>
        <v>27.23</v>
      </c>
      <c r="Y118" s="68">
        <f t="shared" si="158"/>
        <v>33</v>
      </c>
      <c r="Z118" s="68">
        <f t="shared" si="159"/>
        <v>4.6100000000000003</v>
      </c>
      <c r="AA118" s="68">
        <f t="shared" si="160"/>
        <v>21.79</v>
      </c>
      <c r="AB118" s="68">
        <f t="shared" si="161"/>
        <v>26.4</v>
      </c>
    </row>
    <row r="119" spans="1:28" ht="24" customHeight="1" x14ac:dyDescent="0.2">
      <c r="A119" s="78" t="s">
        <v>325</v>
      </c>
      <c r="B119" s="78"/>
      <c r="C119" s="78"/>
      <c r="D119" s="78" t="s">
        <v>326</v>
      </c>
      <c r="E119" s="78"/>
      <c r="F119" s="79"/>
      <c r="G119" s="78"/>
      <c r="H119" s="78"/>
      <c r="I119" s="78"/>
      <c r="J119" s="78"/>
      <c r="K119" s="78"/>
      <c r="L119" s="78"/>
      <c r="M119" s="80">
        <v>996.68</v>
      </c>
      <c r="N119" s="81">
        <f t="shared" si="93"/>
        <v>3.7260518789731032E-4</v>
      </c>
      <c r="O119" s="69"/>
      <c r="P119" s="69"/>
      <c r="Q119" s="69"/>
      <c r="R119" s="69"/>
      <c r="S119" s="69"/>
      <c r="T119" s="69"/>
      <c r="U119" s="69"/>
      <c r="V119" s="70">
        <f>SUM(V120:V121)</f>
        <v>1200.8800000000001</v>
      </c>
      <c r="W119" s="69"/>
      <c r="X119" s="69"/>
      <c r="Y119" s="69"/>
      <c r="Z119" s="69"/>
      <c r="AA119" s="69"/>
      <c r="AB119" s="70">
        <f>SUM(AB120:AB121)</f>
        <v>1200.8800000000001</v>
      </c>
    </row>
    <row r="120" spans="1:28" ht="65.099999999999994" customHeight="1" x14ac:dyDescent="0.2">
      <c r="A120" s="82" t="s">
        <v>327</v>
      </c>
      <c r="B120" s="83" t="s">
        <v>328</v>
      </c>
      <c r="C120" s="82" t="s">
        <v>23</v>
      </c>
      <c r="D120" s="82" t="s">
        <v>329</v>
      </c>
      <c r="E120" s="84" t="s">
        <v>65</v>
      </c>
      <c r="F120" s="83">
        <v>6</v>
      </c>
      <c r="G120" s="85">
        <v>152.71</v>
      </c>
      <c r="H120" s="85">
        <v>64.760000000000005</v>
      </c>
      <c r="I120" s="85">
        <v>87.95</v>
      </c>
      <c r="J120" s="85">
        <f>TRUNC(G120 * (1 + 0 / 100), 2)</f>
        <v>152.71</v>
      </c>
      <c r="K120" s="85">
        <f>TRUNC(F120 * H120, 2)</f>
        <v>388.56</v>
      </c>
      <c r="L120" s="85">
        <f>M120 - K120</f>
        <v>527.70000000000005</v>
      </c>
      <c r="M120" s="85">
        <f>TRUNC(F120 * J120, 2)</f>
        <v>916.26</v>
      </c>
      <c r="N120" s="86">
        <f t="shared" si="93"/>
        <v>3.4254046380261427E-4</v>
      </c>
      <c r="O120" s="71" t="s">
        <v>359</v>
      </c>
      <c r="P120" s="67">
        <f>IF(O120="BDI  PADRÃO",'BDI 2025'!$E$16,'BDI 2025'!$G$16)</f>
        <v>0.2049</v>
      </c>
      <c r="Q120" s="68">
        <f t="shared" ref="Q120:Q121" si="162">TRUNC($H120*(1+$P120),2)</f>
        <v>78.02</v>
      </c>
      <c r="R120" s="68">
        <f t="shared" ref="R120:R121" si="163">S120-Q120</f>
        <v>105.98</v>
      </c>
      <c r="S120" s="68">
        <f t="shared" ref="S120:S121" si="164">TRUNC($G120*(1+$P120),2)</f>
        <v>184</v>
      </c>
      <c r="T120" s="68">
        <f t="shared" ref="T120:T121" si="165">TRUNC(Q120*$F120,2)</f>
        <v>468.12</v>
      </c>
      <c r="U120" s="68">
        <f t="shared" ref="U120:U121" si="166">V120-T120</f>
        <v>635.88</v>
      </c>
      <c r="V120" s="68">
        <f t="shared" ref="V120:V121" si="167">TRUNC(S120*$F120,2)</f>
        <v>1104</v>
      </c>
      <c r="W120" s="68">
        <f t="shared" ref="W120:W121" si="168">TRUNC($H120*(1+$P120-$R$1),2)</f>
        <v>78.02</v>
      </c>
      <c r="X120" s="68">
        <f t="shared" ref="X120:X121" si="169">Y120-W120</f>
        <v>105.98</v>
      </c>
      <c r="Y120" s="68">
        <f t="shared" ref="Y120:Y121" si="170">TRUNC($G120*(1+$P120-$R$1),2)</f>
        <v>184</v>
      </c>
      <c r="Z120" s="68">
        <f t="shared" ref="Z120:Z121" si="171">TRUNC(W120*$F120,2)</f>
        <v>468.12</v>
      </c>
      <c r="AA120" s="68">
        <f t="shared" ref="AA120:AA121" si="172">AB120-Z120</f>
        <v>635.88</v>
      </c>
      <c r="AB120" s="68">
        <f t="shared" ref="AB120:AB121" si="173">TRUNC(Y120*$F120,2)</f>
        <v>1104</v>
      </c>
    </row>
    <row r="121" spans="1:28" ht="24" customHeight="1" x14ac:dyDescent="0.2">
      <c r="A121" s="82" t="s">
        <v>330</v>
      </c>
      <c r="B121" s="83" t="s">
        <v>331</v>
      </c>
      <c r="C121" s="82" t="s">
        <v>60</v>
      </c>
      <c r="D121" s="82" t="s">
        <v>332</v>
      </c>
      <c r="E121" s="84" t="s">
        <v>89</v>
      </c>
      <c r="F121" s="83">
        <v>2</v>
      </c>
      <c r="G121" s="85">
        <v>40.21</v>
      </c>
      <c r="H121" s="85">
        <v>9.51</v>
      </c>
      <c r="I121" s="85">
        <v>30.7</v>
      </c>
      <c r="J121" s="85">
        <f>TRUNC(G121 * (1 + 0 / 100), 2)</f>
        <v>40.21</v>
      </c>
      <c r="K121" s="85">
        <f>TRUNC(F121 * H121, 2)</f>
        <v>19.02</v>
      </c>
      <c r="L121" s="85">
        <f>M121 - K121</f>
        <v>61.400000000000006</v>
      </c>
      <c r="M121" s="85">
        <f>TRUNC(F121 * J121, 2)</f>
        <v>80.42</v>
      </c>
      <c r="N121" s="86">
        <f t="shared" si="93"/>
        <v>3.0064724094696087E-5</v>
      </c>
      <c r="O121" s="71" t="s">
        <v>359</v>
      </c>
      <c r="P121" s="67">
        <f>IF(O121="BDI  PADRÃO",'BDI 2025'!$E$16,'BDI 2025'!$G$16)</f>
        <v>0.2049</v>
      </c>
      <c r="Q121" s="68">
        <f t="shared" si="162"/>
        <v>11.45</v>
      </c>
      <c r="R121" s="68">
        <f t="shared" si="163"/>
        <v>36.989999999999995</v>
      </c>
      <c r="S121" s="68">
        <f t="shared" si="164"/>
        <v>48.44</v>
      </c>
      <c r="T121" s="68">
        <f t="shared" si="165"/>
        <v>22.9</v>
      </c>
      <c r="U121" s="68">
        <f t="shared" si="166"/>
        <v>73.97999999999999</v>
      </c>
      <c r="V121" s="68">
        <f t="shared" si="167"/>
        <v>96.88</v>
      </c>
      <c r="W121" s="68">
        <f t="shared" si="168"/>
        <v>11.45</v>
      </c>
      <c r="X121" s="68">
        <f t="shared" si="169"/>
        <v>36.989999999999995</v>
      </c>
      <c r="Y121" s="68">
        <f t="shared" si="170"/>
        <v>48.44</v>
      </c>
      <c r="Z121" s="68">
        <f t="shared" si="171"/>
        <v>22.9</v>
      </c>
      <c r="AA121" s="68">
        <f t="shared" si="172"/>
        <v>73.97999999999999</v>
      </c>
      <c r="AB121" s="68">
        <f t="shared" si="173"/>
        <v>96.88</v>
      </c>
    </row>
    <row r="122" spans="1:28" ht="24" customHeight="1" x14ac:dyDescent="0.2">
      <c r="A122" s="78" t="s">
        <v>333</v>
      </c>
      <c r="B122" s="78"/>
      <c r="C122" s="78"/>
      <c r="D122" s="78" t="s">
        <v>334</v>
      </c>
      <c r="E122" s="78"/>
      <c r="F122" s="79"/>
      <c r="G122" s="78"/>
      <c r="H122" s="78"/>
      <c r="I122" s="78"/>
      <c r="J122" s="78"/>
      <c r="K122" s="78"/>
      <c r="L122" s="78"/>
      <c r="M122" s="80">
        <v>10717.6</v>
      </c>
      <c r="N122" s="81">
        <f t="shared" si="93"/>
        <v>4.0067357244132655E-3</v>
      </c>
      <c r="O122" s="69"/>
      <c r="P122" s="69"/>
      <c r="Q122" s="69"/>
      <c r="R122" s="69"/>
      <c r="S122" s="69"/>
      <c r="T122" s="69"/>
      <c r="U122" s="69"/>
      <c r="V122" s="70">
        <f>SUM(V123:V125)</f>
        <v>12367.17</v>
      </c>
      <c r="W122" s="69"/>
      <c r="X122" s="69"/>
      <c r="Y122" s="69"/>
      <c r="Z122" s="69"/>
      <c r="AA122" s="69"/>
      <c r="AB122" s="70">
        <f>SUM(AB123:AB125)</f>
        <v>12367.17</v>
      </c>
    </row>
    <row r="123" spans="1:28" ht="26.1" customHeight="1" x14ac:dyDescent="0.2">
      <c r="A123" s="82" t="s">
        <v>335</v>
      </c>
      <c r="B123" s="83" t="s">
        <v>336</v>
      </c>
      <c r="C123" s="82" t="s">
        <v>48</v>
      </c>
      <c r="D123" s="82" t="s">
        <v>337</v>
      </c>
      <c r="E123" s="84" t="s">
        <v>65</v>
      </c>
      <c r="F123" s="83">
        <v>6</v>
      </c>
      <c r="G123" s="85">
        <v>563.29999999999995</v>
      </c>
      <c r="H123" s="85">
        <v>193.59</v>
      </c>
      <c r="I123" s="85">
        <v>369.71</v>
      </c>
      <c r="J123" s="85">
        <f>TRUNC(G123 * (1 + 0 / 100), 2)</f>
        <v>563.29999999999995</v>
      </c>
      <c r="K123" s="85">
        <f>TRUNC(F123 * H123, 2)</f>
        <v>1161.54</v>
      </c>
      <c r="L123" s="85">
        <f>M123 - K123</f>
        <v>2218.2600000000002</v>
      </c>
      <c r="M123" s="85">
        <f>TRUNC(F123 * J123, 2)</f>
        <v>3379.8</v>
      </c>
      <c r="N123" s="86">
        <f t="shared" si="93"/>
        <v>1.263525920110095E-3</v>
      </c>
      <c r="O123" s="71" t="s">
        <v>359</v>
      </c>
      <c r="P123" s="67">
        <f>IF(O123="BDI  PADRÃO",'BDI 2025'!$E$16,'BDI 2025'!$G$16)</f>
        <v>0.2049</v>
      </c>
      <c r="Q123" s="68">
        <f t="shared" ref="Q123:Q125" si="174">TRUNC($H123*(1+$P123),2)</f>
        <v>233.25</v>
      </c>
      <c r="R123" s="68">
        <f t="shared" ref="R123:R125" si="175">S123-Q123</f>
        <v>445.47</v>
      </c>
      <c r="S123" s="68">
        <f t="shared" ref="S123:S125" si="176">TRUNC($G123*(1+$P123),2)</f>
        <v>678.72</v>
      </c>
      <c r="T123" s="68">
        <f t="shared" ref="T123:T125" si="177">TRUNC(Q123*$F123,2)</f>
        <v>1399.5</v>
      </c>
      <c r="U123" s="68">
        <f t="shared" ref="U123:U125" si="178">V123-T123</f>
        <v>2672.82</v>
      </c>
      <c r="V123" s="68">
        <f t="shared" ref="V123:V125" si="179">TRUNC(S123*$F123,2)</f>
        <v>4072.32</v>
      </c>
      <c r="W123" s="68">
        <f t="shared" ref="W123:W125" si="180">TRUNC($H123*(1+$P123-$R$1),2)</f>
        <v>233.25</v>
      </c>
      <c r="X123" s="68">
        <f t="shared" ref="X123:X125" si="181">Y123-W123</f>
        <v>445.47</v>
      </c>
      <c r="Y123" s="68">
        <f t="shared" ref="Y123:Y125" si="182">TRUNC($G123*(1+$P123-$R$1),2)</f>
        <v>678.72</v>
      </c>
      <c r="Z123" s="68">
        <f t="shared" ref="Z123:Z125" si="183">TRUNC(W123*$F123,2)</f>
        <v>1399.5</v>
      </c>
      <c r="AA123" s="68">
        <f t="shared" ref="AA123:AA125" si="184">AB123-Z123</f>
        <v>2672.82</v>
      </c>
      <c r="AB123" s="68">
        <f t="shared" ref="AB123:AB125" si="185">TRUNC(Y123*$F123,2)</f>
        <v>4072.32</v>
      </c>
    </row>
    <row r="124" spans="1:28" ht="26.1" customHeight="1" x14ac:dyDescent="0.2">
      <c r="A124" s="82" t="s">
        <v>338</v>
      </c>
      <c r="B124" s="83" t="s">
        <v>339</v>
      </c>
      <c r="C124" s="82" t="s">
        <v>48</v>
      </c>
      <c r="D124" s="82" t="s">
        <v>340</v>
      </c>
      <c r="E124" s="84" t="s">
        <v>65</v>
      </c>
      <c r="F124" s="83">
        <v>4</v>
      </c>
      <c r="G124" s="85">
        <v>414.85</v>
      </c>
      <c r="H124" s="85">
        <v>154.88999999999999</v>
      </c>
      <c r="I124" s="85">
        <v>259.95999999999998</v>
      </c>
      <c r="J124" s="85">
        <f>TRUNC(G124 * (1 + 0 / 100), 2)</f>
        <v>414.85</v>
      </c>
      <c r="K124" s="85">
        <f>TRUNC(F124 * H124, 2)</f>
        <v>619.55999999999995</v>
      </c>
      <c r="L124" s="85">
        <f>M124 - K124</f>
        <v>1039.8400000000001</v>
      </c>
      <c r="M124" s="85">
        <f>TRUNC(F124 * J124, 2)</f>
        <v>1659.4</v>
      </c>
      <c r="N124" s="86">
        <f t="shared" si="93"/>
        <v>6.2036064614198825E-4</v>
      </c>
      <c r="O124" s="71" t="s">
        <v>359</v>
      </c>
      <c r="P124" s="67">
        <f>IF(O124="BDI  PADRÃO",'BDI 2025'!$E$16,'BDI 2025'!$G$16)</f>
        <v>0.2049</v>
      </c>
      <c r="Q124" s="68">
        <f t="shared" si="174"/>
        <v>186.62</v>
      </c>
      <c r="R124" s="68">
        <f t="shared" si="175"/>
        <v>313.23</v>
      </c>
      <c r="S124" s="68">
        <f t="shared" si="176"/>
        <v>499.85</v>
      </c>
      <c r="T124" s="68">
        <f t="shared" si="177"/>
        <v>746.48</v>
      </c>
      <c r="U124" s="68">
        <f t="shared" si="178"/>
        <v>1252.92</v>
      </c>
      <c r="V124" s="68">
        <f t="shared" si="179"/>
        <v>1999.4</v>
      </c>
      <c r="W124" s="68">
        <f t="shared" si="180"/>
        <v>186.62</v>
      </c>
      <c r="X124" s="68">
        <f t="shared" si="181"/>
        <v>313.23</v>
      </c>
      <c r="Y124" s="68">
        <f t="shared" si="182"/>
        <v>499.85</v>
      </c>
      <c r="Z124" s="68">
        <f t="shared" si="183"/>
        <v>746.48</v>
      </c>
      <c r="AA124" s="68">
        <f t="shared" si="184"/>
        <v>1252.92</v>
      </c>
      <c r="AB124" s="68">
        <f t="shared" si="185"/>
        <v>1999.4</v>
      </c>
    </row>
    <row r="125" spans="1:28" ht="26.1" customHeight="1" x14ac:dyDescent="0.2">
      <c r="A125" s="82" t="s">
        <v>341</v>
      </c>
      <c r="B125" s="83" t="s">
        <v>342</v>
      </c>
      <c r="C125" s="82" t="s">
        <v>60</v>
      </c>
      <c r="D125" s="82" t="s">
        <v>343</v>
      </c>
      <c r="E125" s="84" t="s">
        <v>344</v>
      </c>
      <c r="F125" s="83">
        <v>189.28</v>
      </c>
      <c r="G125" s="85">
        <v>30</v>
      </c>
      <c r="H125" s="85">
        <v>0</v>
      </c>
      <c r="I125" s="85">
        <v>30</v>
      </c>
      <c r="J125" s="85">
        <f>TRUNC(G125 * (1 + 0 / 100), 2)</f>
        <v>30</v>
      </c>
      <c r="K125" s="85">
        <f>TRUNC(F125 * H125, 2)</f>
        <v>0</v>
      </c>
      <c r="L125" s="85">
        <f>M125 - K125</f>
        <v>5678.4</v>
      </c>
      <c r="M125" s="85">
        <f>TRUNC(F125 * J125, 2)</f>
        <v>5678.4</v>
      </c>
      <c r="N125" s="86">
        <f t="shared" si="93"/>
        <v>2.1228491581611821E-3</v>
      </c>
      <c r="O125" s="71" t="s">
        <v>404</v>
      </c>
      <c r="P125" s="67">
        <f>IF(O125="BDI  PADRÃO",'BDI 2025'!$E$16,'BDI 2025'!$G$16)</f>
        <v>0.1089</v>
      </c>
      <c r="Q125" s="68">
        <f t="shared" si="174"/>
        <v>0</v>
      </c>
      <c r="R125" s="68">
        <f t="shared" si="175"/>
        <v>33.26</v>
      </c>
      <c r="S125" s="68">
        <f t="shared" si="176"/>
        <v>33.26</v>
      </c>
      <c r="T125" s="68">
        <f t="shared" si="177"/>
        <v>0</v>
      </c>
      <c r="U125" s="68">
        <f t="shared" si="178"/>
        <v>6295.45</v>
      </c>
      <c r="V125" s="68">
        <f t="shared" si="179"/>
        <v>6295.45</v>
      </c>
      <c r="W125" s="68">
        <f t="shared" si="180"/>
        <v>0</v>
      </c>
      <c r="X125" s="68">
        <f t="shared" si="181"/>
        <v>33.26</v>
      </c>
      <c r="Y125" s="68">
        <f t="shared" si="182"/>
        <v>33.26</v>
      </c>
      <c r="Z125" s="68">
        <f t="shared" si="183"/>
        <v>0</v>
      </c>
      <c r="AA125" s="68">
        <f t="shared" si="184"/>
        <v>6295.45</v>
      </c>
      <c r="AB125" s="68">
        <f t="shared" si="185"/>
        <v>6295.45</v>
      </c>
    </row>
    <row r="126" spans="1:28" ht="25.5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 t="s">
        <v>345</v>
      </c>
      <c r="K126" s="15" t="s">
        <v>353</v>
      </c>
      <c r="L126" s="15" t="s">
        <v>354</v>
      </c>
      <c r="M126" s="15" t="s">
        <v>355</v>
      </c>
      <c r="N126" s="15"/>
    </row>
    <row r="127" spans="1:28" ht="14.25" x14ac:dyDescent="0.2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</row>
    <row r="128" spans="1:28" x14ac:dyDescent="0.25">
      <c r="A128" s="235"/>
      <c r="B128" s="235"/>
      <c r="C128" s="235"/>
      <c r="D128" s="17"/>
      <c r="E128" s="15"/>
      <c r="F128" s="15"/>
      <c r="G128" s="15"/>
      <c r="H128" s="15"/>
      <c r="I128" s="15"/>
      <c r="J128" s="249" t="s">
        <v>349</v>
      </c>
      <c r="K128" s="235"/>
      <c r="L128" s="256">
        <v>2674895.66</v>
      </c>
      <c r="M128" s="256"/>
      <c r="N128" s="256"/>
    </row>
    <row r="129" spans="1:28" x14ac:dyDescent="0.25">
      <c r="A129" s="235"/>
      <c r="B129" s="235"/>
      <c r="C129" s="235"/>
      <c r="D129" s="17"/>
      <c r="E129" s="15"/>
      <c r="F129" s="15"/>
      <c r="G129" s="15"/>
      <c r="H129" s="15"/>
      <c r="I129" s="15"/>
      <c r="J129" s="249" t="s">
        <v>350</v>
      </c>
      <c r="K129" s="235"/>
      <c r="L129" s="256">
        <v>0</v>
      </c>
      <c r="M129" s="256"/>
      <c r="N129" s="256"/>
    </row>
    <row r="130" spans="1:28" x14ac:dyDescent="0.25">
      <c r="A130" s="235"/>
      <c r="B130" s="235"/>
      <c r="C130" s="235"/>
      <c r="D130" s="17"/>
      <c r="E130" s="15"/>
      <c r="F130" s="15"/>
      <c r="G130" s="15"/>
      <c r="H130" s="15"/>
      <c r="I130" s="15"/>
      <c r="J130" s="249" t="s">
        <v>351</v>
      </c>
      <c r="K130" s="235"/>
      <c r="L130" s="256">
        <v>2674895.66</v>
      </c>
      <c r="M130" s="256"/>
      <c r="N130" s="256"/>
    </row>
    <row r="131" spans="1:28" ht="60" customHeight="1" thickBot="1" x14ac:dyDescent="0.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</row>
    <row r="132" spans="1:28" ht="69.95" customHeight="1" thickBot="1" x14ac:dyDescent="0.3">
      <c r="A132" s="241" t="s">
        <v>352</v>
      </c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75"/>
      <c r="P132" s="75"/>
      <c r="Q132" s="75"/>
      <c r="R132" s="75"/>
      <c r="S132" s="75"/>
      <c r="T132" s="75"/>
      <c r="U132" s="75"/>
      <c r="V132" s="75"/>
      <c r="W132" s="229" t="s">
        <v>403</v>
      </c>
      <c r="X132" s="230"/>
      <c r="Y132" s="230"/>
      <c r="Z132" s="230"/>
      <c r="AA132" s="231"/>
      <c r="AB132" s="76">
        <f>SUM(AB6,AB10,AB45,AB122)</f>
        <v>3216109.5599999996</v>
      </c>
    </row>
    <row r="133" spans="1:28" x14ac:dyDescent="0.25">
      <c r="W133" s="61"/>
      <c r="X133" s="61"/>
      <c r="Y133" s="61"/>
      <c r="Z133" s="61"/>
      <c r="AA133" s="61"/>
      <c r="AB133" s="61"/>
    </row>
  </sheetData>
  <mergeCells count="41">
    <mergeCell ref="T4:V4"/>
    <mergeCell ref="W4:Y4"/>
    <mergeCell ref="Z4:AB4"/>
    <mergeCell ref="Y1:AB1"/>
    <mergeCell ref="O2:Q2"/>
    <mergeCell ref="R2:U2"/>
    <mergeCell ref="V2:X2"/>
    <mergeCell ref="Y2:AB2"/>
    <mergeCell ref="V1:X1"/>
    <mergeCell ref="A130:C130"/>
    <mergeCell ref="J130:K130"/>
    <mergeCell ref="L130:N130"/>
    <mergeCell ref="A132:N132"/>
    <mergeCell ref="O1:Q1"/>
    <mergeCell ref="A3:N3"/>
    <mergeCell ref="H4:J4"/>
    <mergeCell ref="K4:M4"/>
    <mergeCell ref="E1:G1"/>
    <mergeCell ref="H1:J1"/>
    <mergeCell ref="K1:N1"/>
    <mergeCell ref="E2:G2"/>
    <mergeCell ref="H2:J2"/>
    <mergeCell ref="K2:N2"/>
    <mergeCell ref="P4:P5"/>
    <mergeCell ref="Q4:S4"/>
    <mergeCell ref="W132:AA132"/>
    <mergeCell ref="O4:O5"/>
    <mergeCell ref="N4:N5"/>
    <mergeCell ref="A128:C128"/>
    <mergeCell ref="J128:K128"/>
    <mergeCell ref="L128:N128"/>
    <mergeCell ref="A129:C129"/>
    <mergeCell ref="J129:K129"/>
    <mergeCell ref="L129:N129"/>
    <mergeCell ref="A4:A5"/>
    <mergeCell ref="B4:B5"/>
    <mergeCell ref="C4:C5"/>
    <mergeCell ref="D4:D5"/>
    <mergeCell ref="E4:E5"/>
    <mergeCell ref="F4:F5"/>
    <mergeCell ref="G4:G5"/>
  </mergeCells>
  <pageMargins left="0.5" right="0.5" top="1" bottom="1" header="0.5" footer="0.5"/>
  <pageSetup paperSize="9" fitToHeight="0" orientation="landscape"/>
  <headerFooter>
    <oddHeader>&amp;L &amp;CTRIBUNAL DE JUSTICA DO PARANÁ -TJPR
CNPJ: 77.821.841/0001-94 &amp;R</oddHeader>
    <oddFooter>&amp;L &amp;C 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0F6B2-EF4D-43B5-846A-2F2FFCA02906}">
  <dimension ref="A1:BL131"/>
  <sheetViews>
    <sheetView tabSelected="1" topLeftCell="A118" workbookViewId="0">
      <pane xSplit="12" topLeftCell="M1" activePane="topRight" state="frozen"/>
      <selection activeCell="A120" sqref="A120"/>
      <selection pane="topRight" activeCell="BF2" sqref="BF2"/>
    </sheetView>
  </sheetViews>
  <sheetFormatPr defaultRowHeight="15" x14ac:dyDescent="0.25"/>
  <cols>
    <col min="1" max="3" width="9.140625" style="104"/>
    <col min="4" max="4" width="22" style="104" customWidth="1"/>
    <col min="5" max="5" width="9.140625" style="104"/>
    <col min="6" max="6" width="9.140625" style="96"/>
    <col min="7" max="9" width="12.140625" bestFit="1" customWidth="1"/>
    <col min="10" max="10" width="14.28515625" bestFit="1" customWidth="1"/>
    <col min="11" max="11" width="18.7109375" bestFit="1" customWidth="1"/>
    <col min="12" max="12" width="15.85546875" bestFit="1" customWidth="1"/>
    <col min="14" max="14" width="12.140625" style="117" bestFit="1" customWidth="1"/>
    <col min="15" max="15" width="9.140625" style="110"/>
    <col min="16" max="16" width="14.28515625" bestFit="1" customWidth="1"/>
    <col min="17" max="17" width="9.140625" style="117"/>
    <col min="18" max="18" width="9.140625" style="110"/>
    <col min="23" max="23" width="14.28515625" bestFit="1" customWidth="1"/>
    <col min="24" max="24" width="9.140625" style="117"/>
    <col min="30" max="30" width="14.28515625" bestFit="1" customWidth="1"/>
    <col min="31" max="31" width="9.140625" style="117"/>
    <col min="37" max="37" width="14.28515625" bestFit="1" customWidth="1"/>
    <col min="38" max="38" width="11.140625" style="117" customWidth="1"/>
    <col min="39" max="39" width="6.28515625" bestFit="1" customWidth="1"/>
    <col min="40" max="40" width="7.85546875" bestFit="1" customWidth="1"/>
    <col min="42" max="42" width="13.28515625" bestFit="1" customWidth="1"/>
    <col min="43" max="43" width="8.28515625" bestFit="1" customWidth="1"/>
    <col min="44" max="44" width="14.28515625" bestFit="1" customWidth="1"/>
    <col min="45" max="45" width="10.28515625" style="117" customWidth="1"/>
    <col min="46" max="46" width="6.28515625" bestFit="1" customWidth="1"/>
    <col min="47" max="47" width="7.85546875" bestFit="1" customWidth="1"/>
    <col min="49" max="49" width="8.5703125" bestFit="1" customWidth="1"/>
    <col min="50" max="50" width="8.28515625" bestFit="1" customWidth="1"/>
    <col min="51" max="51" width="15.85546875" bestFit="1" customWidth="1"/>
    <col min="52" max="52" width="10.7109375" style="117" customWidth="1"/>
    <col min="53" max="53" width="6.28515625" bestFit="1" customWidth="1"/>
    <col min="54" max="54" width="7.85546875" bestFit="1" customWidth="1"/>
    <col min="56" max="56" width="7.7109375" bestFit="1" customWidth="1"/>
    <col min="57" max="57" width="7.28515625" bestFit="1" customWidth="1"/>
    <col min="58" max="58" width="14.28515625" bestFit="1" customWidth="1"/>
    <col min="59" max="59" width="10.7109375" customWidth="1"/>
    <col min="60" max="60" width="8.28515625" bestFit="1" customWidth="1"/>
    <col min="61" max="61" width="15.85546875" bestFit="1" customWidth="1"/>
    <col min="64" max="64" width="12.42578125" bestFit="1" customWidth="1"/>
  </cols>
  <sheetData>
    <row r="1" spans="1:64" ht="15" customHeight="1" x14ac:dyDescent="0.25">
      <c r="A1" s="97"/>
      <c r="B1" s="328" t="s">
        <v>0</v>
      </c>
      <c r="C1" s="328"/>
      <c r="D1" s="328"/>
      <c r="E1" s="247" t="s">
        <v>1</v>
      </c>
      <c r="F1" s="247"/>
      <c r="G1" s="247"/>
      <c r="H1" s="334" t="s">
        <v>2</v>
      </c>
      <c r="I1" s="334"/>
      <c r="J1" s="334"/>
      <c r="K1" s="107" t="s">
        <v>3</v>
      </c>
      <c r="L1" s="107"/>
      <c r="M1" s="107"/>
      <c r="N1" s="111"/>
      <c r="O1" s="243" t="s">
        <v>397</v>
      </c>
      <c r="P1" s="243"/>
      <c r="Q1" s="243"/>
      <c r="R1" s="60">
        <f>0%</f>
        <v>0</v>
      </c>
      <c r="S1" s="60"/>
      <c r="T1" s="60"/>
    </row>
    <row r="2" spans="1:64" ht="102" customHeight="1" x14ac:dyDescent="0.25">
      <c r="A2" s="98"/>
      <c r="B2" s="249" t="s">
        <v>356</v>
      </c>
      <c r="C2" s="249"/>
      <c r="D2" s="249"/>
      <c r="E2" s="249" t="s">
        <v>5</v>
      </c>
      <c r="F2" s="249"/>
      <c r="G2" s="249"/>
      <c r="H2" s="335" t="s">
        <v>395</v>
      </c>
      <c r="I2" s="335"/>
      <c r="J2" s="335"/>
      <c r="K2" s="106" t="s">
        <v>396</v>
      </c>
      <c r="L2" s="106"/>
      <c r="M2" s="106"/>
      <c r="N2" s="112"/>
      <c r="O2" s="118"/>
      <c r="P2" s="105"/>
      <c r="Q2" s="139"/>
      <c r="R2" s="118"/>
      <c r="S2" s="105"/>
      <c r="T2" s="105"/>
      <c r="AP2" s="142"/>
    </row>
    <row r="3" spans="1:64" ht="15" customHeight="1" x14ac:dyDescent="0.25">
      <c r="A3" s="327" t="s">
        <v>6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2"/>
      <c r="N3" s="322" t="s">
        <v>405</v>
      </c>
      <c r="O3" s="323"/>
      <c r="P3" s="323"/>
      <c r="Q3" s="323"/>
      <c r="R3" s="323"/>
      <c r="S3" s="324"/>
      <c r="U3" s="270" t="s">
        <v>411</v>
      </c>
      <c r="V3" s="271"/>
      <c r="W3" s="271"/>
      <c r="X3" s="271"/>
      <c r="Y3" s="271"/>
      <c r="Z3" s="272"/>
      <c r="AB3" s="304" t="s">
        <v>412</v>
      </c>
      <c r="AC3" s="305"/>
      <c r="AD3" s="305"/>
      <c r="AE3" s="305"/>
      <c r="AF3" s="305"/>
      <c r="AG3" s="306"/>
      <c r="AI3" s="295" t="s">
        <v>413</v>
      </c>
      <c r="AJ3" s="296"/>
      <c r="AK3" s="296"/>
      <c r="AL3" s="296"/>
      <c r="AM3" s="296"/>
      <c r="AN3" s="297"/>
      <c r="AP3" s="298" t="s">
        <v>414</v>
      </c>
      <c r="AQ3" s="299"/>
      <c r="AR3" s="299"/>
      <c r="AS3" s="299"/>
      <c r="AT3" s="299"/>
      <c r="AU3" s="300"/>
      <c r="AW3" s="301" t="s">
        <v>415</v>
      </c>
      <c r="AX3" s="302"/>
      <c r="AY3" s="302"/>
      <c r="AZ3" s="302"/>
      <c r="BA3" s="302"/>
      <c r="BB3" s="303"/>
      <c r="BD3" s="259" t="s">
        <v>426</v>
      </c>
      <c r="BE3" s="260"/>
      <c r="BF3" s="260"/>
      <c r="BG3" s="260"/>
      <c r="BH3" s="260"/>
      <c r="BI3" s="261"/>
    </row>
    <row r="4" spans="1:64" ht="33" customHeight="1" x14ac:dyDescent="0.25">
      <c r="A4" s="329" t="s">
        <v>7</v>
      </c>
      <c r="B4" s="331" t="s">
        <v>8</v>
      </c>
      <c r="C4" s="329" t="s">
        <v>9</v>
      </c>
      <c r="D4" s="329" t="s">
        <v>10</v>
      </c>
      <c r="E4" s="332" t="s">
        <v>11</v>
      </c>
      <c r="F4" s="332" t="s">
        <v>12</v>
      </c>
      <c r="G4" s="325" t="s">
        <v>401</v>
      </c>
      <c r="H4" s="326"/>
      <c r="I4" s="326"/>
      <c r="J4" s="325" t="s">
        <v>402</v>
      </c>
      <c r="K4" s="326"/>
      <c r="L4" s="326"/>
      <c r="N4" s="262" t="s">
        <v>406</v>
      </c>
      <c r="O4" s="263"/>
      <c r="P4" s="264"/>
      <c r="Q4" s="262" t="s">
        <v>407</v>
      </c>
      <c r="R4" s="263"/>
      <c r="S4" s="264"/>
      <c r="U4" s="262" t="s">
        <v>406</v>
      </c>
      <c r="V4" s="263"/>
      <c r="W4" s="264"/>
      <c r="X4" s="262" t="s">
        <v>407</v>
      </c>
      <c r="Y4" s="263"/>
      <c r="Z4" s="264"/>
      <c r="AB4" s="262" t="s">
        <v>406</v>
      </c>
      <c r="AC4" s="263"/>
      <c r="AD4" s="264"/>
      <c r="AE4" s="262" t="s">
        <v>407</v>
      </c>
      <c r="AF4" s="263"/>
      <c r="AG4" s="264"/>
      <c r="AI4" s="262" t="s">
        <v>406</v>
      </c>
      <c r="AJ4" s="263"/>
      <c r="AK4" s="264"/>
      <c r="AL4" s="262" t="s">
        <v>407</v>
      </c>
      <c r="AM4" s="263"/>
      <c r="AN4" s="264"/>
      <c r="AP4" s="262" t="s">
        <v>406</v>
      </c>
      <c r="AQ4" s="263"/>
      <c r="AR4" s="264"/>
      <c r="AS4" s="262" t="s">
        <v>407</v>
      </c>
      <c r="AT4" s="263"/>
      <c r="AU4" s="264"/>
      <c r="AW4" s="262" t="s">
        <v>406</v>
      </c>
      <c r="AX4" s="263"/>
      <c r="AY4" s="264"/>
      <c r="AZ4" s="262" t="s">
        <v>407</v>
      </c>
      <c r="BA4" s="263"/>
      <c r="BB4" s="264"/>
      <c r="BD4" s="262" t="s">
        <v>427</v>
      </c>
      <c r="BE4" s="263"/>
      <c r="BF4" s="264"/>
      <c r="BG4" s="262" t="s">
        <v>428</v>
      </c>
      <c r="BH4" s="263"/>
      <c r="BI4" s="264"/>
    </row>
    <row r="5" spans="1:64" x14ac:dyDescent="0.25">
      <c r="A5" s="330"/>
      <c r="B5" s="330"/>
      <c r="C5" s="330"/>
      <c r="D5" s="330"/>
      <c r="E5" s="330"/>
      <c r="F5" s="333"/>
      <c r="G5" s="62" t="s">
        <v>17</v>
      </c>
      <c r="H5" s="62" t="s">
        <v>18</v>
      </c>
      <c r="I5" s="62" t="s">
        <v>15</v>
      </c>
      <c r="J5" s="62" t="s">
        <v>17</v>
      </c>
      <c r="K5" s="62" t="s">
        <v>18</v>
      </c>
      <c r="L5" s="62" t="s">
        <v>15</v>
      </c>
      <c r="N5" s="113" t="s">
        <v>12</v>
      </c>
      <c r="O5" s="109" t="s">
        <v>384</v>
      </c>
      <c r="P5" s="108" t="s">
        <v>408</v>
      </c>
      <c r="Q5" s="113" t="s">
        <v>12</v>
      </c>
      <c r="R5" s="109" t="s">
        <v>384</v>
      </c>
      <c r="S5" s="108" t="s">
        <v>408</v>
      </c>
      <c r="U5" s="113" t="s">
        <v>12</v>
      </c>
      <c r="V5" s="109" t="s">
        <v>384</v>
      </c>
      <c r="W5" s="108" t="s">
        <v>408</v>
      </c>
      <c r="X5" s="113" t="s">
        <v>12</v>
      </c>
      <c r="Y5" s="109" t="s">
        <v>384</v>
      </c>
      <c r="Z5" s="108" t="s">
        <v>408</v>
      </c>
      <c r="AB5" s="113" t="s">
        <v>12</v>
      </c>
      <c r="AC5" s="109" t="s">
        <v>384</v>
      </c>
      <c r="AD5" s="108" t="s">
        <v>408</v>
      </c>
      <c r="AE5" s="113" t="s">
        <v>12</v>
      </c>
      <c r="AF5" s="109" t="s">
        <v>384</v>
      </c>
      <c r="AG5" s="108" t="s">
        <v>408</v>
      </c>
      <c r="AI5" s="113" t="s">
        <v>12</v>
      </c>
      <c r="AJ5" s="109" t="s">
        <v>384</v>
      </c>
      <c r="AK5" s="108" t="s">
        <v>408</v>
      </c>
      <c r="AL5" s="113" t="s">
        <v>12</v>
      </c>
      <c r="AM5" s="109" t="s">
        <v>384</v>
      </c>
      <c r="AN5" s="108" t="s">
        <v>408</v>
      </c>
      <c r="AP5" s="113" t="s">
        <v>12</v>
      </c>
      <c r="AQ5" s="109" t="s">
        <v>384</v>
      </c>
      <c r="AR5" s="108" t="s">
        <v>408</v>
      </c>
      <c r="AS5" s="113" t="s">
        <v>12</v>
      </c>
      <c r="AT5" s="109" t="s">
        <v>384</v>
      </c>
      <c r="AU5" s="108" t="s">
        <v>408</v>
      </c>
      <c r="AW5" s="113" t="s">
        <v>12</v>
      </c>
      <c r="AX5" s="109" t="s">
        <v>384</v>
      </c>
      <c r="AY5" s="108" t="s">
        <v>408</v>
      </c>
      <c r="AZ5" s="113" t="s">
        <v>12</v>
      </c>
      <c r="BA5" s="109" t="s">
        <v>384</v>
      </c>
      <c r="BB5" s="108" t="s">
        <v>408</v>
      </c>
      <c r="BD5" s="113" t="s">
        <v>12</v>
      </c>
      <c r="BE5" s="109" t="s">
        <v>384</v>
      </c>
      <c r="BF5" s="108" t="s">
        <v>408</v>
      </c>
      <c r="BG5" s="108" t="s">
        <v>12</v>
      </c>
      <c r="BH5" s="109" t="s">
        <v>384</v>
      </c>
      <c r="BI5" s="108" t="s">
        <v>408</v>
      </c>
    </row>
    <row r="6" spans="1:64" x14ac:dyDescent="0.25">
      <c r="A6" s="99" t="str">
        <f>'01 - Orçamento Sintético'!A6</f>
        <v xml:space="preserve"> 1 </v>
      </c>
      <c r="B6" s="99"/>
      <c r="C6" s="99"/>
      <c r="D6" s="99" t="str">
        <f>'01 - Orçamento Sintético'!D6</f>
        <v>Administração Direta</v>
      </c>
      <c r="E6" s="99"/>
      <c r="F6" s="93"/>
      <c r="G6" s="64"/>
      <c r="H6" s="64"/>
      <c r="I6" s="64"/>
      <c r="J6" s="64"/>
      <c r="K6" s="64"/>
      <c r="L6" s="70">
        <f>INDEX('01 - Orçamento Sintético'!$A$6:$AB$125,MATCH('02 - Planilha de Medição'!$A6,'01 - Orçamento Sintético'!$A$6:$A$125,0),28)</f>
        <v>68670.06</v>
      </c>
      <c r="N6" s="114"/>
      <c r="O6" s="119">
        <f>P6/$K$128</f>
        <v>4.1102424383826037E-3</v>
      </c>
      <c r="P6" s="64">
        <f>SUM(P7:P9)</f>
        <v>13218.99</v>
      </c>
      <c r="Q6" s="114"/>
      <c r="R6" s="119">
        <f t="shared" ref="R6:R69" si="0">S6/$K$128</f>
        <v>0</v>
      </c>
      <c r="S6" s="64">
        <f>SUM(S7:S9)</f>
        <v>0</v>
      </c>
      <c r="U6" s="114"/>
      <c r="V6" s="119">
        <f t="shared" ref="V6:V69" si="1">W6/$K$128</f>
        <v>3.4476841640929674E-3</v>
      </c>
      <c r="W6" s="64">
        <f>SUM(W7:W9)</f>
        <v>11088.13</v>
      </c>
      <c r="X6" s="114"/>
      <c r="Y6" s="119">
        <f t="shared" ref="Y6:Y69" si="2">Z6/$K$128</f>
        <v>0</v>
      </c>
      <c r="Z6" s="64">
        <f>SUM(Z7:Z9)</f>
        <v>0</v>
      </c>
      <c r="AB6" s="114"/>
      <c r="AC6" s="119">
        <f t="shared" ref="AC6:AC69" si="3">AD6/$K$128</f>
        <v>3.4476841640929674E-3</v>
      </c>
      <c r="AD6" s="64">
        <f>SUM(AD7:AD9)</f>
        <v>11088.13</v>
      </c>
      <c r="AE6" s="114"/>
      <c r="AF6" s="119">
        <f t="shared" ref="AF6:AF69" si="4">AG6/$K$128</f>
        <v>0</v>
      </c>
      <c r="AG6" s="64">
        <f>SUM(AG7:AG9)</f>
        <v>0</v>
      </c>
      <c r="AI6" s="114"/>
      <c r="AJ6" s="119">
        <f t="shared" ref="AJ6:AJ69" si="5">AK6/$K$128</f>
        <v>3.4476841640929674E-3</v>
      </c>
      <c r="AK6" s="64">
        <f>SUM(AK7:AK9)</f>
        <v>11088.13</v>
      </c>
      <c r="AL6" s="114"/>
      <c r="AM6" s="119">
        <f t="shared" ref="AM6:AM69" si="6">AN6/$K$128</f>
        <v>0</v>
      </c>
      <c r="AN6" s="64">
        <f>SUM(AN7:AN9)</f>
        <v>0</v>
      </c>
      <c r="AP6" s="114"/>
      <c r="AQ6" s="119">
        <f t="shared" ref="AQ6:AQ69" si="7">AR6/$K$128</f>
        <v>3.4476841640929674E-3</v>
      </c>
      <c r="AR6" s="64">
        <f>SUM(AR7:AR9)</f>
        <v>11088.13</v>
      </c>
      <c r="AS6" s="114"/>
      <c r="AT6" s="119">
        <f t="shared" ref="AT6:AT69" si="8">AU6/$K$128</f>
        <v>0</v>
      </c>
      <c r="AU6" s="64">
        <f>SUM(AU7:AU9)</f>
        <v>0</v>
      </c>
      <c r="AW6" s="114"/>
      <c r="AX6" s="119">
        <f t="shared" ref="AX6:AX69" si="9">AY6/$K$128</f>
        <v>3.4509241034686644E-3</v>
      </c>
      <c r="AY6" s="64">
        <f>SUM(AY7:AY9)</f>
        <v>11098.55</v>
      </c>
      <c r="AZ6" s="114"/>
      <c r="BA6" s="119">
        <f t="shared" ref="BA6:BA69" si="10">BB6/$K$128</f>
        <v>0</v>
      </c>
      <c r="BB6" s="64">
        <f>SUM(BB7:BB9)</f>
        <v>0</v>
      </c>
      <c r="BD6" s="114"/>
      <c r="BE6" s="119">
        <f t="shared" ref="BE6:BE69" si="11">BF6/$K$128</f>
        <v>0</v>
      </c>
      <c r="BF6" s="64">
        <f>SUM(BF7:BF9)</f>
        <v>0</v>
      </c>
      <c r="BG6" s="114"/>
      <c r="BH6" s="119">
        <f t="shared" ref="BH6:BH69" si="12">BI6/$K$128</f>
        <v>2.1351903198223138E-2</v>
      </c>
      <c r="BI6" s="64">
        <f>SUM(BI7:BI9)</f>
        <v>68670.06</v>
      </c>
      <c r="BL6" s="92"/>
    </row>
    <row r="7" spans="1:64" ht="51" x14ac:dyDescent="0.25">
      <c r="A7" s="100" t="str">
        <f>'01 - Orçamento Sintético'!A7</f>
        <v xml:space="preserve"> 1.1 </v>
      </c>
      <c r="B7" s="101" t="str">
        <f>'01 - Orçamento Sintético'!B7</f>
        <v xml:space="preserve"> 90778 </v>
      </c>
      <c r="C7" s="100" t="str">
        <f>'01 - Orçamento Sintético'!C7</f>
        <v>SINAPI</v>
      </c>
      <c r="D7" s="100" t="str">
        <f>'01 - Orçamento Sintético'!D7</f>
        <v>ENGENHEIRO CIVIL DE OBRA PLENO COM ENCARGOS COMPLEMENTARES</v>
      </c>
      <c r="E7" s="94" t="str">
        <f>'01 - Orçamento Sintético'!E7</f>
        <v>H</v>
      </c>
      <c r="F7" s="94">
        <f>'01 - Orçamento Sintético'!F7</f>
        <v>130</v>
      </c>
      <c r="G7" s="68">
        <f>INDEX('01 - Orçamento Sintético'!$A$6:$AB$125,MATCH('02 - Planilha de Medição'!$A7,'01 - Orçamento Sintético'!$A$6:$A$125,0),23)</f>
        <v>173.08</v>
      </c>
      <c r="H7" s="68">
        <f>INDEX('01 - Orçamento Sintético'!$A$6:$AB$125,MATCH('02 - Planilha de Medição'!$A7,'01 - Orçamento Sintético'!$A$6:$A$125,0),24)</f>
        <v>2.7599999999999909</v>
      </c>
      <c r="I7" s="68">
        <f>INDEX('01 - Orçamento Sintético'!$A$6:$AB$125,MATCH('02 - Planilha de Medição'!$A7,'01 - Orçamento Sintético'!$A$6:$A$125,0),25)</f>
        <v>175.84</v>
      </c>
      <c r="J7" s="68">
        <f>INDEX('01 - Orçamento Sintético'!$A$6:$AB$125,MATCH('02 - Planilha de Medição'!$A7,'01 - Orçamento Sintético'!$A$6:$A$125,0),26)</f>
        <v>22500.400000000001</v>
      </c>
      <c r="K7" s="68">
        <f>INDEX('01 - Orçamento Sintético'!$A$6:$AB$125,MATCH('02 - Planilha de Medição'!$A7,'01 - Orçamento Sintético'!$A$6:$A$125,0),27)</f>
        <v>358.79999999999927</v>
      </c>
      <c r="L7" s="68">
        <f>INDEX('01 - Orçamento Sintético'!$A$6:$AB$125,MATCH('02 - Planilha de Medição'!$A7,'01 - Orçamento Sintético'!$A$6:$A$125,0),28)</f>
        <v>22859.200000000001</v>
      </c>
      <c r="N7" s="115">
        <f>TRUNC($F7/6,2)</f>
        <v>21.66</v>
      </c>
      <c r="O7" s="67">
        <f>P7/$K$128</f>
        <v>1.1842538100598789E-3</v>
      </c>
      <c r="P7" s="68">
        <f>TRUNC(N7*$I7,2)</f>
        <v>3808.69</v>
      </c>
      <c r="Q7" s="115"/>
      <c r="R7" s="67">
        <f t="shared" si="0"/>
        <v>0</v>
      </c>
      <c r="S7" s="68">
        <f>TRUNC(Q7*$I7,2)</f>
        <v>0</v>
      </c>
      <c r="U7" s="115">
        <f>TRUNC($F7/6,2)</f>
        <v>21.66</v>
      </c>
      <c r="V7" s="67">
        <f t="shared" si="1"/>
        <v>1.1842538100598789E-3</v>
      </c>
      <c r="W7" s="68">
        <f>TRUNC(U7*$I7,2)</f>
        <v>3808.69</v>
      </c>
      <c r="X7" s="115"/>
      <c r="Y7" s="67">
        <f t="shared" si="2"/>
        <v>0</v>
      </c>
      <c r="Z7" s="68">
        <f>TRUNC(X7*$I7,2)</f>
        <v>0</v>
      </c>
      <c r="AB7" s="115">
        <f>TRUNC($F7/6,2)</f>
        <v>21.66</v>
      </c>
      <c r="AC7" s="67">
        <f t="shared" si="3"/>
        <v>1.1842538100598789E-3</v>
      </c>
      <c r="AD7" s="68">
        <f>TRUNC(AB7*$I7,2)</f>
        <v>3808.69</v>
      </c>
      <c r="AE7" s="115"/>
      <c r="AF7" s="67">
        <f t="shared" si="4"/>
        <v>0</v>
      </c>
      <c r="AG7" s="68">
        <f>TRUNC(AE7*$I7,2)</f>
        <v>0</v>
      </c>
      <c r="AI7" s="115">
        <f>TRUNC($F7/6,2)</f>
        <v>21.66</v>
      </c>
      <c r="AJ7" s="67">
        <f t="shared" si="5"/>
        <v>1.1842538100598789E-3</v>
      </c>
      <c r="AK7" s="68">
        <f>TRUNC(AI7*$I7,2)</f>
        <v>3808.69</v>
      </c>
      <c r="AL7" s="115"/>
      <c r="AM7" s="67">
        <f t="shared" si="6"/>
        <v>0</v>
      </c>
      <c r="AN7" s="68">
        <f>TRUNC(AL7*$I7,2)</f>
        <v>0</v>
      </c>
      <c r="AP7" s="115">
        <f>TRUNC($F7/6,2)</f>
        <v>21.66</v>
      </c>
      <c r="AQ7" s="67">
        <f t="shared" si="7"/>
        <v>1.1842538100598789E-3</v>
      </c>
      <c r="AR7" s="68">
        <f>TRUNC(AP7*$I7,2)</f>
        <v>3808.69</v>
      </c>
      <c r="AS7" s="115"/>
      <c r="AT7" s="67">
        <f t="shared" si="8"/>
        <v>0</v>
      </c>
      <c r="AU7" s="68">
        <f>TRUNC(AS7*$I7,2)</f>
        <v>0</v>
      </c>
      <c r="AW7" s="115">
        <f>$F7-SUM(N7,U7,AB7,AI7,AP7)</f>
        <v>21.700000000000003</v>
      </c>
      <c r="AX7" s="67">
        <f t="shared" si="9"/>
        <v>1.1864490089075201E-3</v>
      </c>
      <c r="AY7" s="68">
        <f>$L7-SUM(P7,W7,AD7,AK7,AR7)</f>
        <v>3815.75</v>
      </c>
      <c r="AZ7" s="115"/>
      <c r="BA7" s="67">
        <f t="shared" si="10"/>
        <v>0</v>
      </c>
      <c r="BB7" s="68">
        <f>TRUNC(AZ7*$I7,2)</f>
        <v>0</v>
      </c>
      <c r="BD7" s="115">
        <f>SUM(Q7,X7,AE7,AL7,AS7,AZ7)</f>
        <v>0</v>
      </c>
      <c r="BE7" s="67">
        <f t="shared" si="11"/>
        <v>0</v>
      </c>
      <c r="BF7" s="68">
        <f>TRUNC(BD7*$I7,2)</f>
        <v>0</v>
      </c>
      <c r="BG7" s="133">
        <f>$F7-BD7</f>
        <v>130</v>
      </c>
      <c r="BH7" s="67">
        <f t="shared" si="12"/>
        <v>7.1077180592069144E-3</v>
      </c>
      <c r="BI7" s="68">
        <f>TRUNC(BG7*$I7,2)</f>
        <v>22859.200000000001</v>
      </c>
      <c r="BJ7" s="117"/>
      <c r="BL7" s="92"/>
    </row>
    <row r="8" spans="1:64" ht="38.25" x14ac:dyDescent="0.25">
      <c r="A8" s="100" t="str">
        <f>'01 - Orçamento Sintético'!A8</f>
        <v xml:space="preserve"> 1.2 </v>
      </c>
      <c r="B8" s="101" t="str">
        <f>'01 - Orçamento Sintético'!B8</f>
        <v xml:space="preserve"> 90780 </v>
      </c>
      <c r="C8" s="100" t="str">
        <f>'01 - Orçamento Sintético'!C8</f>
        <v>SINAPI</v>
      </c>
      <c r="D8" s="100" t="str">
        <f>'01 - Orçamento Sintético'!D8</f>
        <v>MESTRE DE OBRAS COM ENCARGOS COMPLEMENTARES</v>
      </c>
      <c r="E8" s="94" t="str">
        <f>'01 - Orçamento Sintético'!E8</f>
        <v>H</v>
      </c>
      <c r="F8" s="94">
        <f>'01 - Orçamento Sintético'!F8</f>
        <v>520</v>
      </c>
      <c r="G8" s="68">
        <f>INDEX('01 - Orçamento Sintético'!$A$6:$AB$125,MATCH('02 - Planilha de Medição'!$A8,'01 - Orçamento Sintético'!$A$6:$A$125,0),23)</f>
        <v>80.540000000000006</v>
      </c>
      <c r="H8" s="68">
        <f>INDEX('01 - Orçamento Sintético'!$A$6:$AB$125,MATCH('02 - Planilha de Medição'!$A8,'01 - Orçamento Sintético'!$A$6:$A$125,0),24)</f>
        <v>3.4599999999999937</v>
      </c>
      <c r="I8" s="68">
        <f>INDEX('01 - Orçamento Sintético'!$A$6:$AB$125,MATCH('02 - Planilha de Medição'!$A8,'01 - Orçamento Sintético'!$A$6:$A$125,0),25)</f>
        <v>84</v>
      </c>
      <c r="J8" s="68">
        <f>INDEX('01 - Orçamento Sintético'!$A$6:$AB$125,MATCH('02 - Planilha de Medição'!$A8,'01 - Orçamento Sintético'!$A$6:$A$125,0),26)</f>
        <v>41880.800000000003</v>
      </c>
      <c r="K8" s="68">
        <f>INDEX('01 - Orçamento Sintético'!$A$6:$AB$125,MATCH('02 - Planilha de Medição'!$A8,'01 - Orçamento Sintético'!$A$6:$A$125,0),27)</f>
        <v>1799.1999999999971</v>
      </c>
      <c r="L8" s="68">
        <f>INDEX('01 - Orçamento Sintético'!$A$6:$AB$125,MATCH('02 - Planilha de Medição'!$A8,'01 - Orçamento Sintético'!$A$6:$A$125,0),28)</f>
        <v>43680</v>
      </c>
      <c r="N8" s="115">
        <f t="shared" ref="N8" si="13">TRUNC($F8/6,2)</f>
        <v>86.66</v>
      </c>
      <c r="O8" s="67">
        <f t="shared" ref="O8:O71" si="14">P8/$K$128</f>
        <v>2.2634303540330883E-3</v>
      </c>
      <c r="P8" s="68">
        <f t="shared" ref="P8:P9" si="15">TRUNC(N8*$I8,2)</f>
        <v>7279.44</v>
      </c>
      <c r="Q8" s="115"/>
      <c r="R8" s="67">
        <f t="shared" si="0"/>
        <v>0</v>
      </c>
      <c r="S8" s="68">
        <f t="shared" ref="S8:S9" si="16">TRUNC(Q8*$I8,2)</f>
        <v>0</v>
      </c>
      <c r="U8" s="115">
        <f t="shared" ref="U8" si="17">TRUNC($F8/6,2)</f>
        <v>86.66</v>
      </c>
      <c r="V8" s="67">
        <f t="shared" si="1"/>
        <v>2.2634303540330883E-3</v>
      </c>
      <c r="W8" s="68">
        <f t="shared" ref="W8:W9" si="18">TRUNC(U8*$I8,2)</f>
        <v>7279.44</v>
      </c>
      <c r="X8" s="115"/>
      <c r="Y8" s="67">
        <f t="shared" si="2"/>
        <v>0</v>
      </c>
      <c r="Z8" s="68">
        <f t="shared" ref="Z8:Z9" si="19">TRUNC(X8*$I8,2)</f>
        <v>0</v>
      </c>
      <c r="AB8" s="115">
        <f t="shared" ref="AB8" si="20">TRUNC($F8/6,2)</f>
        <v>86.66</v>
      </c>
      <c r="AC8" s="67">
        <f t="shared" si="3"/>
        <v>2.2634303540330883E-3</v>
      </c>
      <c r="AD8" s="68">
        <f t="shared" ref="AD8:AD9" si="21">TRUNC(AB8*$I8,2)</f>
        <v>7279.44</v>
      </c>
      <c r="AE8" s="115"/>
      <c r="AF8" s="67">
        <f t="shared" si="4"/>
        <v>0</v>
      </c>
      <c r="AG8" s="68">
        <f t="shared" ref="AG8:AG9" si="22">TRUNC(AE8*$I8,2)</f>
        <v>0</v>
      </c>
      <c r="AI8" s="115">
        <f t="shared" ref="AI8" si="23">TRUNC($F8/6,2)</f>
        <v>86.66</v>
      </c>
      <c r="AJ8" s="67">
        <f t="shared" si="5"/>
        <v>2.2634303540330883E-3</v>
      </c>
      <c r="AK8" s="68">
        <f t="shared" ref="AK8:AK9" si="24">TRUNC(AI8*$I8,2)</f>
        <v>7279.44</v>
      </c>
      <c r="AL8" s="115"/>
      <c r="AM8" s="67">
        <f t="shared" si="6"/>
        <v>0</v>
      </c>
      <c r="AN8" s="68">
        <f t="shared" ref="AN8:AN9" si="25">TRUNC(AL8*$I8,2)</f>
        <v>0</v>
      </c>
      <c r="AP8" s="115">
        <f t="shared" ref="AP8" si="26">TRUNC($F8/6,2)</f>
        <v>86.66</v>
      </c>
      <c r="AQ8" s="67">
        <f t="shared" si="7"/>
        <v>2.2634303540330883E-3</v>
      </c>
      <c r="AR8" s="68">
        <f t="shared" ref="AR8:AR9" si="27">TRUNC(AP8*$I8,2)</f>
        <v>7279.44</v>
      </c>
      <c r="AS8" s="115"/>
      <c r="AT8" s="67">
        <f t="shared" si="8"/>
        <v>0</v>
      </c>
      <c r="AU8" s="68">
        <f t="shared" ref="AU8:AU9" si="28">TRUNC(AS8*$I8,2)</f>
        <v>0</v>
      </c>
      <c r="AW8" s="115">
        <f t="shared" ref="AW8" si="29">F8-SUM(N8,U8,AB8,AI8,AP8)</f>
        <v>86.700000000000045</v>
      </c>
      <c r="AX8" s="67">
        <f t="shared" si="9"/>
        <v>2.2644750945611447E-3</v>
      </c>
      <c r="AY8" s="68">
        <f t="shared" ref="AY8:AY9" si="30">TRUNC(AW8*$I8,2)</f>
        <v>7282.8</v>
      </c>
      <c r="AZ8" s="115"/>
      <c r="BA8" s="67">
        <f t="shared" si="10"/>
        <v>0</v>
      </c>
      <c r="BB8" s="68">
        <f t="shared" ref="BB8:BB9" si="31">TRUNC(AZ8*$I8,2)</f>
        <v>0</v>
      </c>
      <c r="BD8" s="115">
        <f t="shared" ref="BD8:BD9" si="32">SUM(Q8,X8,AE8,AL8,AS8,AZ8)</f>
        <v>0</v>
      </c>
      <c r="BE8" s="67">
        <f t="shared" si="11"/>
        <v>0</v>
      </c>
      <c r="BF8" s="68">
        <f t="shared" ref="BF8:BF9" si="33">TRUNC(BD8*$I8,2)</f>
        <v>0</v>
      </c>
      <c r="BG8" s="133">
        <f t="shared" ref="BG8:BG9" si="34">$F8-BD8</f>
        <v>520</v>
      </c>
      <c r="BH8" s="67">
        <f t="shared" si="12"/>
        <v>1.3581626864726588E-2</v>
      </c>
      <c r="BI8" s="68">
        <f t="shared" ref="BI8:BI9" si="35">TRUNC(BG8*$I8,2)</f>
        <v>43680</v>
      </c>
      <c r="BJ8" s="117"/>
      <c r="BL8" s="92"/>
    </row>
    <row r="9" spans="1:64" ht="89.25" x14ac:dyDescent="0.25">
      <c r="A9" s="100" t="str">
        <f>'01 - Orçamento Sintético'!A9</f>
        <v xml:space="preserve"> 1.3 </v>
      </c>
      <c r="B9" s="101" t="str">
        <f>'01 - Orçamento Sintético'!B9</f>
        <v xml:space="preserve"> 103689 </v>
      </c>
      <c r="C9" s="100" t="str">
        <f>'01 - Orçamento Sintético'!C9</f>
        <v>SINAPI</v>
      </c>
      <c r="D9" s="100" t="str">
        <f>'01 - Orçamento Sintético'!D9</f>
        <v>FORNECIMENTO E INSTALAÇÃO DE PLACA DE OBRA COM CHAPA GALVANIZADA E ESTRUTURA DE MADEIRA. AF_03/2022_PS</v>
      </c>
      <c r="E9" s="94" t="str">
        <f>'01 - Orçamento Sintético'!E9</f>
        <v>m²</v>
      </c>
      <c r="F9" s="94">
        <f>'01 - Orçamento Sintético'!F9</f>
        <v>3.75</v>
      </c>
      <c r="G9" s="68">
        <f>INDEX('01 - Orçamento Sintético'!$A$6:$AB$125,MATCH('02 - Planilha de Medição'!$A9,'01 - Orçamento Sintético'!$A$6:$A$125,0),23)</f>
        <v>46.07</v>
      </c>
      <c r="H9" s="68">
        <f>INDEX('01 - Orçamento Sintético'!$A$6:$AB$125,MATCH('02 - Planilha de Medição'!$A9,'01 - Orçamento Sintético'!$A$6:$A$125,0),24)</f>
        <v>522.16</v>
      </c>
      <c r="I9" s="68">
        <f>INDEX('01 - Orçamento Sintético'!$A$6:$AB$125,MATCH('02 - Planilha de Medição'!$A9,'01 - Orçamento Sintético'!$A$6:$A$125,0),25)</f>
        <v>568.23</v>
      </c>
      <c r="J9" s="68">
        <f>INDEX('01 - Orçamento Sintético'!$A$6:$AB$125,MATCH('02 - Planilha de Medição'!$A9,'01 - Orçamento Sintético'!$A$6:$A$125,0),26)</f>
        <v>172.76</v>
      </c>
      <c r="K9" s="68">
        <f>INDEX('01 - Orçamento Sintético'!$A$6:$AB$125,MATCH('02 - Planilha de Medição'!$A9,'01 - Orçamento Sintético'!$A$6:$A$125,0),27)</f>
        <v>1958.1000000000001</v>
      </c>
      <c r="L9" s="68">
        <f>INDEX('01 - Orçamento Sintético'!$A$6:$AB$125,MATCH('02 - Planilha de Medição'!$A9,'01 - Orçamento Sintético'!$A$6:$A$125,0),28)</f>
        <v>2130.86</v>
      </c>
      <c r="N9" s="115">
        <f>F9</f>
        <v>3.75</v>
      </c>
      <c r="O9" s="67">
        <f t="shared" si="14"/>
        <v>6.6255827428963597E-4</v>
      </c>
      <c r="P9" s="68">
        <f t="shared" si="15"/>
        <v>2130.86</v>
      </c>
      <c r="Q9" s="115"/>
      <c r="R9" s="67">
        <f t="shared" si="0"/>
        <v>0</v>
      </c>
      <c r="S9" s="68">
        <f t="shared" si="16"/>
        <v>0</v>
      </c>
      <c r="U9" s="115"/>
      <c r="V9" s="67">
        <f t="shared" si="1"/>
        <v>0</v>
      </c>
      <c r="W9" s="68">
        <f t="shared" si="18"/>
        <v>0</v>
      </c>
      <c r="X9" s="115"/>
      <c r="Y9" s="67">
        <f t="shared" si="2"/>
        <v>0</v>
      </c>
      <c r="Z9" s="68">
        <f t="shared" si="19"/>
        <v>0</v>
      </c>
      <c r="AB9" s="115"/>
      <c r="AC9" s="67">
        <f t="shared" si="3"/>
        <v>0</v>
      </c>
      <c r="AD9" s="68">
        <f t="shared" si="21"/>
        <v>0</v>
      </c>
      <c r="AE9" s="115"/>
      <c r="AF9" s="67">
        <f t="shared" si="4"/>
        <v>0</v>
      </c>
      <c r="AG9" s="68">
        <f t="shared" si="22"/>
        <v>0</v>
      </c>
      <c r="AI9" s="115"/>
      <c r="AJ9" s="67">
        <f t="shared" si="5"/>
        <v>0</v>
      </c>
      <c r="AK9" s="68">
        <f t="shared" si="24"/>
        <v>0</v>
      </c>
      <c r="AL9" s="115"/>
      <c r="AM9" s="67">
        <f t="shared" si="6"/>
        <v>0</v>
      </c>
      <c r="AN9" s="68">
        <f t="shared" si="25"/>
        <v>0</v>
      </c>
      <c r="AP9" s="115"/>
      <c r="AQ9" s="67">
        <f t="shared" si="7"/>
        <v>0</v>
      </c>
      <c r="AR9" s="68">
        <f t="shared" si="27"/>
        <v>0</v>
      </c>
      <c r="AS9" s="115"/>
      <c r="AT9" s="67">
        <f t="shared" si="8"/>
        <v>0</v>
      </c>
      <c r="AU9" s="68">
        <f t="shared" si="28"/>
        <v>0</v>
      </c>
      <c r="AW9" s="115"/>
      <c r="AX9" s="67">
        <f t="shared" si="9"/>
        <v>0</v>
      </c>
      <c r="AY9" s="68">
        <f t="shared" si="30"/>
        <v>0</v>
      </c>
      <c r="AZ9" s="115"/>
      <c r="BA9" s="67">
        <f t="shared" si="10"/>
        <v>0</v>
      </c>
      <c r="BB9" s="68">
        <f t="shared" si="31"/>
        <v>0</v>
      </c>
      <c r="BD9" s="115">
        <f t="shared" si="32"/>
        <v>0</v>
      </c>
      <c r="BE9" s="67">
        <f t="shared" si="11"/>
        <v>0</v>
      </c>
      <c r="BF9" s="68">
        <f t="shared" si="33"/>
        <v>0</v>
      </c>
      <c r="BG9" s="133">
        <f t="shared" si="34"/>
        <v>3.75</v>
      </c>
      <c r="BH9" s="67">
        <f t="shared" si="12"/>
        <v>6.6255827428963597E-4</v>
      </c>
      <c r="BI9" s="68">
        <f t="shared" si="35"/>
        <v>2130.86</v>
      </c>
      <c r="BJ9" s="117"/>
      <c r="BL9" s="92"/>
    </row>
    <row r="10" spans="1:64" x14ac:dyDescent="0.25">
      <c r="A10" s="99" t="str">
        <f>'01 - Orçamento Sintético'!A10</f>
        <v xml:space="preserve"> 2 </v>
      </c>
      <c r="B10" s="99"/>
      <c r="C10" s="99"/>
      <c r="D10" s="99" t="str">
        <f>'01 - Orçamento Sintético'!D10</f>
        <v>Demolição</v>
      </c>
      <c r="E10" s="99"/>
      <c r="F10" s="93"/>
      <c r="G10" s="69"/>
      <c r="H10" s="69"/>
      <c r="I10" s="69"/>
      <c r="J10" s="69"/>
      <c r="K10" s="69"/>
      <c r="L10" s="70">
        <f>INDEX('01 - Orçamento Sintético'!$A$6:$AB$125,MATCH('02 - Planilha de Medição'!$A10,'01 - Orçamento Sintético'!$A$6:$A$125,0),28)</f>
        <v>303097.69999999995</v>
      </c>
      <c r="N10" s="116"/>
      <c r="O10" s="119">
        <f t="shared" si="14"/>
        <v>2.223957196284072E-2</v>
      </c>
      <c r="P10" s="70">
        <f>SUM(P11,P32)</f>
        <v>71524.899999999994</v>
      </c>
      <c r="Q10" s="116"/>
      <c r="R10" s="119">
        <f t="shared" si="0"/>
        <v>0</v>
      </c>
      <c r="S10" s="70">
        <f>SUM(S11,S32)</f>
        <v>0</v>
      </c>
      <c r="U10" s="116"/>
      <c r="V10" s="119">
        <f t="shared" si="1"/>
        <v>4.7963875957011876E-2</v>
      </c>
      <c r="W10" s="70">
        <f>SUM(W11,W32)</f>
        <v>154257.08000000002</v>
      </c>
      <c r="X10" s="116"/>
      <c r="Y10" s="119">
        <f t="shared" si="2"/>
        <v>0</v>
      </c>
      <c r="Z10" s="70">
        <f>SUM(Z11,Z32)</f>
        <v>0</v>
      </c>
      <c r="AB10" s="116"/>
      <c r="AC10" s="119">
        <f t="shared" si="3"/>
        <v>2.4040138732089714E-2</v>
      </c>
      <c r="AD10" s="70">
        <f>SUM(AD11,AD32)</f>
        <v>77315.72</v>
      </c>
      <c r="AE10" s="116"/>
      <c r="AF10" s="119">
        <f t="shared" si="4"/>
        <v>0</v>
      </c>
      <c r="AG10" s="70">
        <f>SUM(AG11,AG32)</f>
        <v>0</v>
      </c>
      <c r="AI10" s="116"/>
      <c r="AJ10" s="119">
        <f t="shared" si="5"/>
        <v>0</v>
      </c>
      <c r="AK10" s="70">
        <f>SUM(AK11,AK32)</f>
        <v>0</v>
      </c>
      <c r="AL10" s="116"/>
      <c r="AM10" s="119">
        <f t="shared" si="6"/>
        <v>0</v>
      </c>
      <c r="AN10" s="70">
        <f>SUM(AN11,AN32)</f>
        <v>0</v>
      </c>
      <c r="AP10" s="116"/>
      <c r="AQ10" s="119">
        <f t="shared" si="7"/>
        <v>0</v>
      </c>
      <c r="AR10" s="70">
        <f>SUM(AR11,AR32)</f>
        <v>0</v>
      </c>
      <c r="AS10" s="116"/>
      <c r="AT10" s="119">
        <f t="shared" si="8"/>
        <v>0</v>
      </c>
      <c r="AU10" s="70">
        <f>SUM(AU11,AU32)</f>
        <v>0</v>
      </c>
      <c r="AW10" s="116"/>
      <c r="AX10" s="119">
        <f t="shared" si="9"/>
        <v>0</v>
      </c>
      <c r="AY10" s="70">
        <f>SUM(AY11,AY32)</f>
        <v>0</v>
      </c>
      <c r="AZ10" s="116"/>
      <c r="BA10" s="119">
        <f t="shared" si="10"/>
        <v>0</v>
      </c>
      <c r="BB10" s="70">
        <f>SUM(BB11,BB32)</f>
        <v>0</v>
      </c>
      <c r="BD10" s="116"/>
      <c r="BE10" s="119">
        <f t="shared" si="11"/>
        <v>0</v>
      </c>
      <c r="BF10" s="70">
        <f>SUM(BF11,BF32)</f>
        <v>0</v>
      </c>
      <c r="BG10" s="134"/>
      <c r="BH10" s="119">
        <f t="shared" si="12"/>
        <v>9.4243586651942296E-2</v>
      </c>
      <c r="BI10" s="70">
        <f>SUM(BI11,BI32)</f>
        <v>303097.69999999995</v>
      </c>
      <c r="BJ10" s="117"/>
      <c r="BL10" s="92"/>
    </row>
    <row r="11" spans="1:64" x14ac:dyDescent="0.25">
      <c r="A11" s="99" t="str">
        <f>'01 - Orçamento Sintético'!A11</f>
        <v xml:space="preserve"> 2.1 </v>
      </c>
      <c r="B11" s="99"/>
      <c r="C11" s="99"/>
      <c r="D11" s="99" t="str">
        <f>'01 - Orçamento Sintético'!D11</f>
        <v>Interno</v>
      </c>
      <c r="E11" s="99"/>
      <c r="F11" s="93"/>
      <c r="G11" s="69"/>
      <c r="H11" s="69"/>
      <c r="I11" s="69"/>
      <c r="J11" s="69"/>
      <c r="K11" s="69"/>
      <c r="L11" s="70">
        <f>INDEX('01 - Orçamento Sintético'!$A$6:$AB$125,MATCH('02 - Planilha de Medição'!$A11,'01 - Orçamento Sintético'!$A$6:$A$125,0),28)</f>
        <v>231572.8</v>
      </c>
      <c r="N11" s="116"/>
      <c r="O11" s="119">
        <f t="shared" si="14"/>
        <v>0</v>
      </c>
      <c r="P11" s="70">
        <f>SUM(P12,P18,P23,P27)</f>
        <v>0</v>
      </c>
      <c r="Q11" s="116"/>
      <c r="R11" s="119">
        <f t="shared" si="0"/>
        <v>0</v>
      </c>
      <c r="S11" s="70">
        <f>SUM(S12,S18,S23,S27)</f>
        <v>0</v>
      </c>
      <c r="U11" s="116"/>
      <c r="V11" s="119">
        <f t="shared" si="1"/>
        <v>4.7963875957011876E-2</v>
      </c>
      <c r="W11" s="70">
        <f>SUM(W12,W18,W23,W27)</f>
        <v>154257.08000000002</v>
      </c>
      <c r="X11" s="116"/>
      <c r="Y11" s="119">
        <f t="shared" si="2"/>
        <v>0</v>
      </c>
      <c r="Z11" s="70">
        <f>SUM(Z12,Z18,Z23,Z27)</f>
        <v>0</v>
      </c>
      <c r="AB11" s="116"/>
      <c r="AC11" s="119">
        <f t="shared" si="3"/>
        <v>2.4040138732089714E-2</v>
      </c>
      <c r="AD11" s="70">
        <f>SUM(AD12,AD18,AD23,AD27)</f>
        <v>77315.72</v>
      </c>
      <c r="AE11" s="116"/>
      <c r="AF11" s="119">
        <f t="shared" si="4"/>
        <v>0</v>
      </c>
      <c r="AG11" s="70">
        <f>SUM(AG12,AG18,AG23,AG27)</f>
        <v>0</v>
      </c>
      <c r="AI11" s="116"/>
      <c r="AJ11" s="119">
        <f t="shared" si="5"/>
        <v>0</v>
      </c>
      <c r="AK11" s="70">
        <f>SUM(AK12,AK18,AK23,AK27)</f>
        <v>0</v>
      </c>
      <c r="AL11" s="116"/>
      <c r="AM11" s="119">
        <f t="shared" si="6"/>
        <v>0</v>
      </c>
      <c r="AN11" s="70">
        <f>SUM(AN12,AN18,AN23,AN27)</f>
        <v>0</v>
      </c>
      <c r="AP11" s="116"/>
      <c r="AQ11" s="119">
        <f t="shared" si="7"/>
        <v>0</v>
      </c>
      <c r="AR11" s="70">
        <f>SUM(AR12,AR18,AR23,AR27)</f>
        <v>0</v>
      </c>
      <c r="AS11" s="116"/>
      <c r="AT11" s="119">
        <f t="shared" si="8"/>
        <v>0</v>
      </c>
      <c r="AU11" s="70">
        <f>SUM(AU12,AU18,AU23,AU27)</f>
        <v>0</v>
      </c>
      <c r="AW11" s="116"/>
      <c r="AX11" s="119">
        <f t="shared" si="9"/>
        <v>0</v>
      </c>
      <c r="AY11" s="70">
        <f>SUM(AY12,AY18,AY23,AY27)</f>
        <v>0</v>
      </c>
      <c r="AZ11" s="116"/>
      <c r="BA11" s="119">
        <f t="shared" si="10"/>
        <v>0</v>
      </c>
      <c r="BB11" s="70">
        <f>SUM(BB12,BB18,BB23,BB27)</f>
        <v>0</v>
      </c>
      <c r="BD11" s="116"/>
      <c r="BE11" s="119">
        <f t="shared" si="11"/>
        <v>0</v>
      </c>
      <c r="BF11" s="70">
        <f>SUM(BF12,BF18,BF23,BF27)</f>
        <v>0</v>
      </c>
      <c r="BG11" s="134"/>
      <c r="BH11" s="119">
        <f t="shared" si="12"/>
        <v>7.2004014689101586E-2</v>
      </c>
      <c r="BI11" s="70">
        <f>SUM(BI12,BI18,BI23,BI27)</f>
        <v>231572.8</v>
      </c>
      <c r="BJ11" s="117"/>
      <c r="BL11" s="92"/>
    </row>
    <row r="12" spans="1:64" ht="25.5" x14ac:dyDescent="0.25">
      <c r="A12" s="99" t="str">
        <f>'01 - Orçamento Sintético'!A12</f>
        <v xml:space="preserve"> 2.1.1 </v>
      </c>
      <c r="B12" s="99"/>
      <c r="C12" s="99"/>
      <c r="D12" s="99" t="str">
        <f>'01 - Orçamento Sintético'!D12</f>
        <v>Revestimentos Horizontais</v>
      </c>
      <c r="E12" s="99"/>
      <c r="F12" s="93"/>
      <c r="G12" s="69"/>
      <c r="H12" s="69"/>
      <c r="I12" s="69"/>
      <c r="J12" s="69"/>
      <c r="K12" s="69"/>
      <c r="L12" s="70">
        <f>INDEX('01 - Orçamento Sintético'!$A$6:$AB$125,MATCH('02 - Planilha de Medição'!$A12,'01 - Orçamento Sintético'!$A$6:$A$125,0),28)</f>
        <v>154631.03999999998</v>
      </c>
      <c r="N12" s="116"/>
      <c r="O12" s="119">
        <f t="shared" si="14"/>
        <v>0</v>
      </c>
      <c r="P12" s="70">
        <f>SUM(P13:P17)</f>
        <v>0</v>
      </c>
      <c r="Q12" s="116"/>
      <c r="R12" s="119">
        <f t="shared" si="0"/>
        <v>0</v>
      </c>
      <c r="S12" s="70">
        <f>SUM(S13:S17)</f>
        <v>0</v>
      </c>
      <c r="U12" s="116"/>
      <c r="V12" s="119">
        <f t="shared" si="1"/>
        <v>2.4040014358217329E-2</v>
      </c>
      <c r="W12" s="70">
        <f>SUM(W13:W17)</f>
        <v>77315.320000000007</v>
      </c>
      <c r="X12" s="116"/>
      <c r="Y12" s="119">
        <f t="shared" si="2"/>
        <v>0</v>
      </c>
      <c r="Z12" s="70">
        <f>SUM(Z13:Z17)</f>
        <v>0</v>
      </c>
      <c r="AB12" s="116"/>
      <c r="AC12" s="119">
        <f t="shared" si="3"/>
        <v>2.4040138732089714E-2</v>
      </c>
      <c r="AD12" s="70">
        <f>SUM(AD13:AD17)</f>
        <v>77315.72</v>
      </c>
      <c r="AE12" s="116"/>
      <c r="AF12" s="119">
        <f t="shared" si="4"/>
        <v>0</v>
      </c>
      <c r="AG12" s="70">
        <f>SUM(AG13:AG17)</f>
        <v>0</v>
      </c>
      <c r="AI12" s="116"/>
      <c r="AJ12" s="119">
        <f t="shared" si="5"/>
        <v>0</v>
      </c>
      <c r="AK12" s="70">
        <f>SUM(AK13:AK17)</f>
        <v>0</v>
      </c>
      <c r="AL12" s="116"/>
      <c r="AM12" s="119">
        <f t="shared" si="6"/>
        <v>0</v>
      </c>
      <c r="AN12" s="70">
        <f>SUM(AN13:AN17)</f>
        <v>0</v>
      </c>
      <c r="AP12" s="116"/>
      <c r="AQ12" s="119">
        <f t="shared" si="7"/>
        <v>0</v>
      </c>
      <c r="AR12" s="70">
        <f>SUM(AR13:AR17)</f>
        <v>0</v>
      </c>
      <c r="AS12" s="116"/>
      <c r="AT12" s="119">
        <f t="shared" si="8"/>
        <v>0</v>
      </c>
      <c r="AU12" s="70">
        <f>SUM(AU13:AU17)</f>
        <v>0</v>
      </c>
      <c r="AW12" s="116"/>
      <c r="AX12" s="119">
        <f t="shared" si="9"/>
        <v>0</v>
      </c>
      <c r="AY12" s="70">
        <f>SUM(AY13:AY17)</f>
        <v>0</v>
      </c>
      <c r="AZ12" s="116"/>
      <c r="BA12" s="119">
        <f t="shared" si="10"/>
        <v>0</v>
      </c>
      <c r="BB12" s="70">
        <f>SUM(BB13:BB17)</f>
        <v>0</v>
      </c>
      <c r="BD12" s="116"/>
      <c r="BE12" s="119">
        <f t="shared" si="11"/>
        <v>0</v>
      </c>
      <c r="BF12" s="70">
        <f>SUM(BF13:BF17)</f>
        <v>0</v>
      </c>
      <c r="BG12" s="134"/>
      <c r="BH12" s="119">
        <f t="shared" si="12"/>
        <v>4.8080153090307033E-2</v>
      </c>
      <c r="BI12" s="70">
        <f>SUM(BI13:BI17)</f>
        <v>154631.03999999998</v>
      </c>
      <c r="BJ12" s="117"/>
      <c r="BL12" s="92"/>
    </row>
    <row r="13" spans="1:64" ht="76.5" x14ac:dyDescent="0.25">
      <c r="A13" s="100" t="str">
        <f>'01 - Orçamento Sintético'!A13</f>
        <v xml:space="preserve"> 2.1.1.1 </v>
      </c>
      <c r="B13" s="101" t="str">
        <f>'01 - Orçamento Sintético'!B13</f>
        <v xml:space="preserve"> 97633 </v>
      </c>
      <c r="C13" s="100" t="str">
        <f>'01 - Orçamento Sintético'!C13</f>
        <v>SINAPI</v>
      </c>
      <c r="D13" s="100" t="str">
        <f>'01 - Orçamento Sintético'!D13</f>
        <v>DEMOLIÇÃO DE REVESTIMENTO CERÂMICO, DE FORMA MANUAL, SEM REAPROVEITAMENTO. AF_09/2023</v>
      </c>
      <c r="E13" s="94" t="str">
        <f>'01 - Orçamento Sintético'!E13</f>
        <v>m²</v>
      </c>
      <c r="F13" s="94">
        <f>'01 - Orçamento Sintético'!F13</f>
        <v>3825.51</v>
      </c>
      <c r="G13" s="68">
        <f>INDEX('01 - Orçamento Sintético'!$A$6:$AB$125,MATCH('02 - Planilha de Medição'!$A13,'01 - Orçamento Sintético'!$A$6:$A$125,0),23)</f>
        <v>25.79</v>
      </c>
      <c r="H13" s="68">
        <f>INDEX('01 - Orçamento Sintético'!$A$6:$AB$125,MATCH('02 - Planilha de Medição'!$A13,'01 - Orçamento Sintético'!$A$6:$A$125,0),24)</f>
        <v>11.160000000000004</v>
      </c>
      <c r="I13" s="68">
        <f>INDEX('01 - Orçamento Sintético'!$A$6:$AB$125,MATCH('02 - Planilha de Medição'!$A13,'01 - Orçamento Sintético'!$A$6:$A$125,0),25)</f>
        <v>36.950000000000003</v>
      </c>
      <c r="J13" s="68">
        <f>INDEX('01 - Orçamento Sintético'!$A$6:$AB$125,MATCH('02 - Planilha de Medição'!$A13,'01 - Orçamento Sintético'!$A$6:$A$125,0),26)</f>
        <v>98659.9</v>
      </c>
      <c r="K13" s="68">
        <f>INDEX('01 - Orçamento Sintético'!$A$6:$AB$125,MATCH('02 - Planilha de Medição'!$A13,'01 - Orçamento Sintético'!$A$6:$A$125,0),27)</f>
        <v>42692.69</v>
      </c>
      <c r="L13" s="68">
        <f>INDEX('01 - Orçamento Sintético'!$A$6:$AB$125,MATCH('02 - Planilha de Medição'!$A13,'01 - Orçamento Sintético'!$A$6:$A$125,0),28)</f>
        <v>141352.59</v>
      </c>
      <c r="N13" s="115"/>
      <c r="O13" s="67">
        <f t="shared" si="14"/>
        <v>0</v>
      </c>
      <c r="P13" s="68">
        <f>TRUNC(N13*$I13,2)</f>
        <v>0</v>
      </c>
      <c r="Q13" s="115"/>
      <c r="R13" s="67">
        <f t="shared" si="0"/>
        <v>0</v>
      </c>
      <c r="S13" s="68">
        <f>TRUNC(Q13*$I13,2)</f>
        <v>0</v>
      </c>
      <c r="U13" s="115">
        <f>TRUNC($F13/2,2)</f>
        <v>1912.75</v>
      </c>
      <c r="V13" s="67">
        <f t="shared" si="1"/>
        <v>2.197565371498103E-2</v>
      </c>
      <c r="W13" s="68">
        <f>TRUNC(U13*$I13,2)</f>
        <v>70676.11</v>
      </c>
      <c r="X13" s="115"/>
      <c r="Y13" s="67">
        <f t="shared" si="2"/>
        <v>0</v>
      </c>
      <c r="Z13" s="68">
        <f>TRUNC(X13*$I13,2)</f>
        <v>0</v>
      </c>
      <c r="AB13" s="115">
        <f>F13-U13</f>
        <v>1912.7600000000002</v>
      </c>
      <c r="AC13" s="67">
        <f t="shared" si="3"/>
        <v>2.1975768760812989E-2</v>
      </c>
      <c r="AD13" s="68">
        <f>TRUNC(AB13*$I13,2)</f>
        <v>70676.479999999996</v>
      </c>
      <c r="AE13" s="115"/>
      <c r="AF13" s="67">
        <f t="shared" si="4"/>
        <v>0</v>
      </c>
      <c r="AG13" s="68">
        <f>TRUNC(AE13*$I13,2)</f>
        <v>0</v>
      </c>
      <c r="AI13" s="115"/>
      <c r="AJ13" s="67">
        <f t="shared" si="5"/>
        <v>0</v>
      </c>
      <c r="AK13" s="68">
        <f>TRUNC(AI13*$I13,2)</f>
        <v>0</v>
      </c>
      <c r="AL13" s="115"/>
      <c r="AM13" s="67">
        <f t="shared" si="6"/>
        <v>0</v>
      </c>
      <c r="AN13" s="68">
        <f>TRUNC(AL13*$I13,2)</f>
        <v>0</v>
      </c>
      <c r="AP13" s="115"/>
      <c r="AQ13" s="67">
        <f t="shared" si="7"/>
        <v>0</v>
      </c>
      <c r="AR13" s="68">
        <f>TRUNC(AP13*$I13,2)</f>
        <v>0</v>
      </c>
      <c r="AS13" s="115"/>
      <c r="AT13" s="67">
        <f t="shared" si="8"/>
        <v>0</v>
      </c>
      <c r="AU13" s="68">
        <f>TRUNC(AS13*$I13,2)</f>
        <v>0</v>
      </c>
      <c r="AW13" s="115"/>
      <c r="AX13" s="67">
        <f t="shared" si="9"/>
        <v>0</v>
      </c>
      <c r="AY13" s="68">
        <f>TRUNC(AW13*$I13,2)</f>
        <v>0</v>
      </c>
      <c r="AZ13" s="115"/>
      <c r="BA13" s="67">
        <f t="shared" si="10"/>
        <v>0</v>
      </c>
      <c r="BB13" s="68">
        <f>TRUNC(AZ13*$I13,2)</f>
        <v>0</v>
      </c>
      <c r="BD13" s="115">
        <f t="shared" ref="BD13:BD17" si="36">SUM(Q13,X13,AE13,AL13,AS13,AZ13)</f>
        <v>0</v>
      </c>
      <c r="BE13" s="67">
        <f t="shared" si="11"/>
        <v>0</v>
      </c>
      <c r="BF13" s="68">
        <f t="shared" ref="BF13:BF17" si="37">TRUNC(BD13*$I13,2)</f>
        <v>0</v>
      </c>
      <c r="BG13" s="133">
        <f t="shared" ref="BG13:BG17" si="38">$F13-BD13</f>
        <v>3825.51</v>
      </c>
      <c r="BH13" s="67">
        <f t="shared" si="12"/>
        <v>4.3951422475794019E-2</v>
      </c>
      <c r="BI13" s="68">
        <f t="shared" ref="BI13:BI17" si="39">TRUNC(BG13*$I13,2)</f>
        <v>141352.59</v>
      </c>
      <c r="BJ13" s="117"/>
      <c r="BL13" s="92"/>
    </row>
    <row r="14" spans="1:64" ht="76.5" x14ac:dyDescent="0.25">
      <c r="A14" s="100" t="str">
        <f>'01 - Orçamento Sintético'!A14</f>
        <v xml:space="preserve"> 2.1.1.2 </v>
      </c>
      <c r="B14" s="101" t="str">
        <f>'01 - Orçamento Sintético'!B14</f>
        <v xml:space="preserve"> 97632 </v>
      </c>
      <c r="C14" s="100" t="str">
        <f>'01 - Orçamento Sintético'!C14</f>
        <v>SINAPI</v>
      </c>
      <c r="D14" s="100" t="str">
        <f>'01 - Orçamento Sintético'!D14</f>
        <v>DEMOLIÇÃO DE RODAPÉ CERÂMICO, DE FORMA MANUAL, SEM REAPROVEITAMENTO. AF_09/2023</v>
      </c>
      <c r="E14" s="94" t="str">
        <f>'01 - Orçamento Sintético'!E14</f>
        <v>M</v>
      </c>
      <c r="F14" s="94">
        <f>'01 - Orçamento Sintético'!F14</f>
        <v>2216.62</v>
      </c>
      <c r="G14" s="68">
        <f>INDEX('01 - Orçamento Sintético'!$A$6:$AB$125,MATCH('02 - Planilha de Medição'!$A14,'01 - Orçamento Sintético'!$A$6:$A$125,0),23)</f>
        <v>2.95</v>
      </c>
      <c r="H14" s="68">
        <f>INDEX('01 - Orçamento Sintético'!$A$6:$AB$125,MATCH('02 - Planilha de Medição'!$A14,'01 - Orçamento Sintético'!$A$6:$A$125,0),24)</f>
        <v>1.2599999999999998</v>
      </c>
      <c r="I14" s="68">
        <f>INDEX('01 - Orçamento Sintético'!$A$6:$AB$125,MATCH('02 - Planilha de Medição'!$A14,'01 - Orçamento Sintético'!$A$6:$A$125,0),25)</f>
        <v>4.21</v>
      </c>
      <c r="J14" s="68">
        <f>INDEX('01 - Orçamento Sintético'!$A$6:$AB$125,MATCH('02 - Planilha de Medição'!$A14,'01 - Orçamento Sintético'!$A$6:$A$125,0),26)</f>
        <v>6539.02</v>
      </c>
      <c r="K14" s="68">
        <f>INDEX('01 - Orçamento Sintético'!$A$6:$AB$125,MATCH('02 - Planilha de Medição'!$A14,'01 - Orçamento Sintético'!$A$6:$A$125,0),27)</f>
        <v>2792.9499999999989</v>
      </c>
      <c r="L14" s="68">
        <f>INDEX('01 - Orçamento Sintético'!$A$6:$AB$125,MATCH('02 - Planilha de Medição'!$A14,'01 - Orçamento Sintético'!$A$6:$A$125,0),28)</f>
        <v>9331.9699999999993</v>
      </c>
      <c r="N14" s="115"/>
      <c r="O14" s="67">
        <f t="shared" si="14"/>
        <v>0</v>
      </c>
      <c r="P14" s="68">
        <f t="shared" ref="P14:P17" si="40">TRUNC(N14*$I14,2)</f>
        <v>0</v>
      </c>
      <c r="Q14" s="115"/>
      <c r="R14" s="67">
        <f t="shared" si="0"/>
        <v>0</v>
      </c>
      <c r="S14" s="68">
        <f t="shared" ref="S14:S17" si="41">TRUNC(Q14*$I14,2)</f>
        <v>0</v>
      </c>
      <c r="U14" s="115">
        <f>TRUNC($F14/2,2)</f>
        <v>1108.31</v>
      </c>
      <c r="V14" s="67">
        <f t="shared" si="1"/>
        <v>1.4508150027078058E-3</v>
      </c>
      <c r="W14" s="68">
        <f t="shared" ref="W14:W17" si="42">TRUNC(U14*$I14,2)</f>
        <v>4665.9799999999996</v>
      </c>
      <c r="X14" s="115"/>
      <c r="Y14" s="67">
        <f t="shared" si="2"/>
        <v>0</v>
      </c>
      <c r="Z14" s="68">
        <f t="shared" ref="Z14:Z17" si="43">TRUNC(X14*$I14,2)</f>
        <v>0</v>
      </c>
      <c r="AB14" s="115">
        <f>$F14-U14</f>
        <v>1108.31</v>
      </c>
      <c r="AC14" s="67">
        <f t="shared" si="3"/>
        <v>1.4508181120546156E-3</v>
      </c>
      <c r="AD14" s="68">
        <f>L14-W14</f>
        <v>4665.99</v>
      </c>
      <c r="AE14" s="115"/>
      <c r="AF14" s="67">
        <f t="shared" si="4"/>
        <v>0</v>
      </c>
      <c r="AG14" s="68">
        <f t="shared" ref="AG14:AG17" si="44">TRUNC(AE14*$I14,2)</f>
        <v>0</v>
      </c>
      <c r="AI14" s="115"/>
      <c r="AJ14" s="67">
        <f t="shared" si="5"/>
        <v>0</v>
      </c>
      <c r="AK14" s="68">
        <f t="shared" ref="AK14:AK17" si="45">TRUNC(AI14*$I14,2)</f>
        <v>0</v>
      </c>
      <c r="AL14" s="115"/>
      <c r="AM14" s="67">
        <f t="shared" si="6"/>
        <v>0</v>
      </c>
      <c r="AN14" s="68">
        <f t="shared" ref="AN14:AN17" si="46">TRUNC(AL14*$I14,2)</f>
        <v>0</v>
      </c>
      <c r="AP14" s="115"/>
      <c r="AQ14" s="67">
        <f t="shared" si="7"/>
        <v>0</v>
      </c>
      <c r="AR14" s="68">
        <f t="shared" ref="AR14:AR17" si="47">TRUNC(AP14*$I14,2)</f>
        <v>0</v>
      </c>
      <c r="AS14" s="115"/>
      <c r="AT14" s="67">
        <f t="shared" si="8"/>
        <v>0</v>
      </c>
      <c r="AU14" s="68">
        <f t="shared" ref="AU14:AU17" si="48">TRUNC(AS14*$I14,2)</f>
        <v>0</v>
      </c>
      <c r="AW14" s="115"/>
      <c r="AX14" s="67">
        <f t="shared" si="9"/>
        <v>0</v>
      </c>
      <c r="AY14" s="68">
        <f t="shared" ref="AY14:AY17" si="49">TRUNC(AW14*$I14,2)</f>
        <v>0</v>
      </c>
      <c r="AZ14" s="115"/>
      <c r="BA14" s="67">
        <f t="shared" si="10"/>
        <v>0</v>
      </c>
      <c r="BB14" s="68">
        <f t="shared" ref="BB14:BB17" si="50">TRUNC(AZ14*$I14,2)</f>
        <v>0</v>
      </c>
      <c r="BD14" s="115">
        <f t="shared" si="36"/>
        <v>0</v>
      </c>
      <c r="BE14" s="67">
        <f t="shared" si="11"/>
        <v>0</v>
      </c>
      <c r="BF14" s="68">
        <f t="shared" si="37"/>
        <v>0</v>
      </c>
      <c r="BG14" s="133">
        <f t="shared" si="38"/>
        <v>2216.62</v>
      </c>
      <c r="BH14" s="67">
        <f t="shared" si="12"/>
        <v>2.9016331147624212E-3</v>
      </c>
      <c r="BI14" s="68">
        <f t="shared" si="39"/>
        <v>9331.9699999999993</v>
      </c>
      <c r="BJ14" s="117"/>
      <c r="BL14" s="92"/>
    </row>
    <row r="15" spans="1:64" ht="25.5" x14ac:dyDescent="0.25">
      <c r="A15" s="100" t="str">
        <f>'01 - Orçamento Sintético'!A15</f>
        <v xml:space="preserve"> 2.1.1.3 </v>
      </c>
      <c r="B15" s="101" t="str">
        <f>'01 - Orçamento Sintético'!B15</f>
        <v xml:space="preserve"> 022237 </v>
      </c>
      <c r="C15" s="100" t="str">
        <f>'01 - Orçamento Sintético'!C15</f>
        <v>SBC</v>
      </c>
      <c r="D15" s="100" t="str">
        <f>'01 - Orçamento Sintético'!D15</f>
        <v>RETIRADA GRANITO EM PISO</v>
      </c>
      <c r="E15" s="94" t="str">
        <f>'01 - Orçamento Sintético'!E15</f>
        <v>m²</v>
      </c>
      <c r="F15" s="94">
        <f>'01 - Orçamento Sintético'!F15</f>
        <v>41.6</v>
      </c>
      <c r="G15" s="68">
        <f>INDEX('01 - Orçamento Sintético'!$A$6:$AB$125,MATCH('02 - Planilha de Medição'!$A15,'01 - Orçamento Sintético'!$A$6:$A$125,0),23)</f>
        <v>24.18</v>
      </c>
      <c r="H15" s="68">
        <f>INDEX('01 - Orçamento Sintético'!$A$6:$AB$125,MATCH('02 - Planilha de Medição'!$A15,'01 - Orçamento Sintético'!$A$6:$A$125,0),24)</f>
        <v>10.880000000000003</v>
      </c>
      <c r="I15" s="68">
        <f>INDEX('01 - Orçamento Sintético'!$A$6:$AB$125,MATCH('02 - Planilha de Medição'!$A15,'01 - Orçamento Sintético'!$A$6:$A$125,0),25)</f>
        <v>35.06</v>
      </c>
      <c r="J15" s="68">
        <f>INDEX('01 - Orçamento Sintético'!$A$6:$AB$125,MATCH('02 - Planilha de Medição'!$A15,'01 - Orçamento Sintético'!$A$6:$A$125,0),26)</f>
        <v>1005.88</v>
      </c>
      <c r="K15" s="68">
        <f>INDEX('01 - Orçamento Sintético'!$A$6:$AB$125,MATCH('02 - Planilha de Medição'!$A15,'01 - Orçamento Sintético'!$A$6:$A$125,0),27)</f>
        <v>452.61</v>
      </c>
      <c r="L15" s="68">
        <f>INDEX('01 - Orçamento Sintético'!$A$6:$AB$125,MATCH('02 - Planilha de Medição'!$A15,'01 - Orçamento Sintético'!$A$6:$A$125,0),28)</f>
        <v>1458.49</v>
      </c>
      <c r="N15" s="115"/>
      <c r="O15" s="67">
        <f t="shared" si="14"/>
        <v>0</v>
      </c>
      <c r="P15" s="68">
        <f t="shared" si="40"/>
        <v>0</v>
      </c>
      <c r="Q15" s="115"/>
      <c r="R15" s="67">
        <f t="shared" si="0"/>
        <v>0</v>
      </c>
      <c r="S15" s="68">
        <f t="shared" si="41"/>
        <v>0</v>
      </c>
      <c r="U15" s="115">
        <f t="shared" ref="U15:U17" si="51">TRUNC($F15/2,2)</f>
        <v>20.8</v>
      </c>
      <c r="V15" s="67">
        <f t="shared" si="1"/>
        <v>2.2674600674984472E-4</v>
      </c>
      <c r="W15" s="68">
        <f t="shared" si="42"/>
        <v>729.24</v>
      </c>
      <c r="X15" s="115"/>
      <c r="Y15" s="67">
        <f t="shared" si="2"/>
        <v>0</v>
      </c>
      <c r="Z15" s="68">
        <f t="shared" si="43"/>
        <v>0</v>
      </c>
      <c r="AB15" s="115">
        <f t="shared" ref="AB15:AB17" si="52">$F15-U15</f>
        <v>20.8</v>
      </c>
      <c r="AC15" s="67">
        <f t="shared" si="3"/>
        <v>2.2674911609665439E-4</v>
      </c>
      <c r="AD15" s="68">
        <f>L15-W15</f>
        <v>729.25</v>
      </c>
      <c r="AE15" s="115"/>
      <c r="AF15" s="67">
        <f t="shared" si="4"/>
        <v>0</v>
      </c>
      <c r="AG15" s="68">
        <f t="shared" si="44"/>
        <v>0</v>
      </c>
      <c r="AI15" s="115"/>
      <c r="AJ15" s="67">
        <f t="shared" si="5"/>
        <v>0</v>
      </c>
      <c r="AK15" s="68">
        <f t="shared" si="45"/>
        <v>0</v>
      </c>
      <c r="AL15" s="115"/>
      <c r="AM15" s="67">
        <f t="shared" si="6"/>
        <v>0</v>
      </c>
      <c r="AN15" s="68">
        <f t="shared" si="46"/>
        <v>0</v>
      </c>
      <c r="AP15" s="115"/>
      <c r="AQ15" s="67">
        <f t="shared" si="7"/>
        <v>0</v>
      </c>
      <c r="AR15" s="68">
        <f t="shared" si="47"/>
        <v>0</v>
      </c>
      <c r="AS15" s="115"/>
      <c r="AT15" s="67">
        <f t="shared" si="8"/>
        <v>0</v>
      </c>
      <c r="AU15" s="68">
        <f t="shared" si="48"/>
        <v>0</v>
      </c>
      <c r="AW15" s="115"/>
      <c r="AX15" s="67">
        <f t="shared" si="9"/>
        <v>0</v>
      </c>
      <c r="AY15" s="68">
        <f t="shared" si="49"/>
        <v>0</v>
      </c>
      <c r="AZ15" s="115"/>
      <c r="BA15" s="67">
        <f t="shared" si="10"/>
        <v>0</v>
      </c>
      <c r="BB15" s="68">
        <f t="shared" si="50"/>
        <v>0</v>
      </c>
      <c r="BD15" s="115">
        <f t="shared" si="36"/>
        <v>0</v>
      </c>
      <c r="BE15" s="67">
        <f t="shared" si="11"/>
        <v>0</v>
      </c>
      <c r="BF15" s="68">
        <f t="shared" si="37"/>
        <v>0</v>
      </c>
      <c r="BG15" s="133">
        <f t="shared" si="38"/>
        <v>41.6</v>
      </c>
      <c r="BH15" s="67">
        <f t="shared" si="12"/>
        <v>4.5349512284649913E-4</v>
      </c>
      <c r="BI15" s="68">
        <f t="shared" si="39"/>
        <v>1458.49</v>
      </c>
      <c r="BJ15" s="117"/>
      <c r="BL15" s="92"/>
    </row>
    <row r="16" spans="1:64" ht="38.25" x14ac:dyDescent="0.25">
      <c r="A16" s="100" t="str">
        <f>'01 - Orçamento Sintético'!A16</f>
        <v xml:space="preserve"> 2.1.1.4 </v>
      </c>
      <c r="B16" s="101" t="str">
        <f>'01 - Orçamento Sintético'!B16</f>
        <v xml:space="preserve"> 022191 </v>
      </c>
      <c r="C16" s="100" t="str">
        <f>'01 - Orçamento Sintético'!C16</f>
        <v>SBC</v>
      </c>
      <c r="D16" s="100" t="str">
        <f>'01 - Orçamento Sintético'!D16</f>
        <v>RETIRADA DE RODAPES EM ARDOSIA</v>
      </c>
      <c r="E16" s="94" t="str">
        <f>'01 - Orçamento Sintético'!E16</f>
        <v>M</v>
      </c>
      <c r="F16" s="94">
        <f>'01 - Orçamento Sintético'!F16</f>
        <v>24.6</v>
      </c>
      <c r="G16" s="68">
        <f>INDEX('01 - Orçamento Sintético'!$A$6:$AB$125,MATCH('02 - Planilha de Medição'!$A16,'01 - Orçamento Sintético'!$A$6:$A$125,0),23)</f>
        <v>20.57</v>
      </c>
      <c r="H16" s="68">
        <f>INDEX('01 - Orçamento Sintético'!$A$6:$AB$125,MATCH('02 - Planilha de Medição'!$A16,'01 - Orçamento Sintético'!$A$6:$A$125,0),24)</f>
        <v>8.8000000000000007</v>
      </c>
      <c r="I16" s="68">
        <f>INDEX('01 - Orçamento Sintético'!$A$6:$AB$125,MATCH('02 - Planilha de Medição'!$A16,'01 - Orçamento Sintético'!$A$6:$A$125,0),25)</f>
        <v>29.37</v>
      </c>
      <c r="J16" s="68">
        <f>INDEX('01 - Orçamento Sintético'!$A$6:$AB$125,MATCH('02 - Planilha de Medição'!$A16,'01 - Orçamento Sintético'!$A$6:$A$125,0),26)</f>
        <v>506.02</v>
      </c>
      <c r="K16" s="68">
        <f>INDEX('01 - Orçamento Sintético'!$A$6:$AB$125,MATCH('02 - Planilha de Medição'!$A16,'01 - Orçamento Sintético'!$A$6:$A$125,0),27)</f>
        <v>216.48000000000002</v>
      </c>
      <c r="L16" s="68">
        <f>INDEX('01 - Orçamento Sintético'!$A$6:$AB$125,MATCH('02 - Planilha de Medição'!$A16,'01 - Orçamento Sintético'!$A$6:$A$125,0),28)</f>
        <v>722.5</v>
      </c>
      <c r="N16" s="115"/>
      <c r="O16" s="67">
        <f t="shared" si="14"/>
        <v>0</v>
      </c>
      <c r="P16" s="68">
        <f t="shared" si="40"/>
        <v>0</v>
      </c>
      <c r="Q16" s="115"/>
      <c r="R16" s="67">
        <f t="shared" si="0"/>
        <v>0</v>
      </c>
      <c r="S16" s="68">
        <f t="shared" si="41"/>
        <v>0</v>
      </c>
      <c r="U16" s="115">
        <f t="shared" si="51"/>
        <v>12.3</v>
      </c>
      <c r="V16" s="67">
        <f t="shared" si="1"/>
        <v>1.1232515350005677E-4</v>
      </c>
      <c r="W16" s="68">
        <f t="shared" si="42"/>
        <v>361.25</v>
      </c>
      <c r="X16" s="115"/>
      <c r="Y16" s="67">
        <f t="shared" si="2"/>
        <v>0</v>
      </c>
      <c r="Z16" s="68">
        <f t="shared" si="43"/>
        <v>0</v>
      </c>
      <c r="AB16" s="115">
        <f t="shared" si="52"/>
        <v>12.3</v>
      </c>
      <c r="AC16" s="67">
        <f t="shared" si="3"/>
        <v>1.1232515350005677E-4</v>
      </c>
      <c r="AD16" s="68">
        <f>L16-W16</f>
        <v>361.25</v>
      </c>
      <c r="AE16" s="115"/>
      <c r="AF16" s="67">
        <f t="shared" si="4"/>
        <v>0</v>
      </c>
      <c r="AG16" s="68">
        <f t="shared" si="44"/>
        <v>0</v>
      </c>
      <c r="AI16" s="115"/>
      <c r="AJ16" s="67">
        <f t="shared" si="5"/>
        <v>0</v>
      </c>
      <c r="AK16" s="68">
        <f t="shared" si="45"/>
        <v>0</v>
      </c>
      <c r="AL16" s="115"/>
      <c r="AM16" s="67">
        <f t="shared" si="6"/>
        <v>0</v>
      </c>
      <c r="AN16" s="68">
        <f t="shared" si="46"/>
        <v>0</v>
      </c>
      <c r="AP16" s="115"/>
      <c r="AQ16" s="67">
        <f t="shared" si="7"/>
        <v>0</v>
      </c>
      <c r="AR16" s="68">
        <f t="shared" si="47"/>
        <v>0</v>
      </c>
      <c r="AS16" s="115"/>
      <c r="AT16" s="67">
        <f t="shared" si="8"/>
        <v>0</v>
      </c>
      <c r="AU16" s="68">
        <f t="shared" si="48"/>
        <v>0</v>
      </c>
      <c r="AW16" s="115"/>
      <c r="AX16" s="67">
        <f t="shared" si="9"/>
        <v>0</v>
      </c>
      <c r="AY16" s="68">
        <f t="shared" si="49"/>
        <v>0</v>
      </c>
      <c r="AZ16" s="115"/>
      <c r="BA16" s="67">
        <f t="shared" si="10"/>
        <v>0</v>
      </c>
      <c r="BB16" s="68">
        <f t="shared" si="50"/>
        <v>0</v>
      </c>
      <c r="BD16" s="115">
        <f t="shared" si="36"/>
        <v>0</v>
      </c>
      <c r="BE16" s="67">
        <f t="shared" si="11"/>
        <v>0</v>
      </c>
      <c r="BF16" s="68">
        <f t="shared" si="37"/>
        <v>0</v>
      </c>
      <c r="BG16" s="133">
        <f t="shared" si="38"/>
        <v>24.6</v>
      </c>
      <c r="BH16" s="67">
        <f t="shared" si="12"/>
        <v>2.2465030700011355E-4</v>
      </c>
      <c r="BI16" s="68">
        <f t="shared" si="39"/>
        <v>722.5</v>
      </c>
      <c r="BJ16" s="117"/>
      <c r="BL16" s="92"/>
    </row>
    <row r="17" spans="1:64" ht="63.75" x14ac:dyDescent="0.25">
      <c r="A17" s="100" t="str">
        <f>'01 - Orçamento Sintético'!A17</f>
        <v xml:space="preserve"> 2.1.1.5 </v>
      </c>
      <c r="B17" s="101" t="str">
        <f>'01 - Orçamento Sintético'!B17</f>
        <v xml:space="preserve"> 97641 </v>
      </c>
      <c r="C17" s="100" t="str">
        <f>'01 - Orçamento Sintético'!C17</f>
        <v>SINAPI</v>
      </c>
      <c r="D17" s="100" t="str">
        <f>'01 - Orçamento Sintético'!D17</f>
        <v>REMOÇÃO DE FORRO DE GESSO, DE FORMA MANUAL, SEM REAPROVEITAMENTO. AF_09/2023</v>
      </c>
      <c r="E17" s="94" t="str">
        <f>'01 - Orçamento Sintético'!E17</f>
        <v>m²</v>
      </c>
      <c r="F17" s="94">
        <f>'01 - Orçamento Sintético'!F17</f>
        <v>374.84</v>
      </c>
      <c r="G17" s="68">
        <f>INDEX('01 - Orçamento Sintético'!$A$6:$AB$125,MATCH('02 - Planilha de Medição'!$A17,'01 - Orçamento Sintético'!$A$6:$A$125,0),23)</f>
        <v>3.27</v>
      </c>
      <c r="H17" s="68">
        <f>INDEX('01 - Orçamento Sintético'!$A$6:$AB$125,MATCH('02 - Planilha de Medição'!$A17,'01 - Orçamento Sintético'!$A$6:$A$125,0),24)</f>
        <v>1.44</v>
      </c>
      <c r="I17" s="68">
        <f>INDEX('01 - Orçamento Sintético'!$A$6:$AB$125,MATCH('02 - Planilha de Medição'!$A17,'01 - Orçamento Sintético'!$A$6:$A$125,0),25)</f>
        <v>4.71</v>
      </c>
      <c r="J17" s="68">
        <f>INDEX('01 - Orçamento Sintético'!$A$6:$AB$125,MATCH('02 - Planilha de Medição'!$A17,'01 - Orçamento Sintético'!$A$6:$A$125,0),26)</f>
        <v>1225.72</v>
      </c>
      <c r="K17" s="68">
        <f>INDEX('01 - Orçamento Sintético'!$A$6:$AB$125,MATCH('02 - Planilha de Medição'!$A17,'01 - Orçamento Sintético'!$A$6:$A$125,0),27)</f>
        <v>539.77</v>
      </c>
      <c r="L17" s="68">
        <f>INDEX('01 - Orçamento Sintético'!$A$6:$AB$125,MATCH('02 - Planilha de Medição'!$A17,'01 - Orçamento Sintético'!$A$6:$A$125,0),28)</f>
        <v>1765.49</v>
      </c>
      <c r="N17" s="115"/>
      <c r="O17" s="67">
        <f t="shared" si="14"/>
        <v>0</v>
      </c>
      <c r="P17" s="68">
        <f t="shared" si="40"/>
        <v>0</v>
      </c>
      <c r="Q17" s="115"/>
      <c r="R17" s="67">
        <f t="shared" si="0"/>
        <v>0</v>
      </c>
      <c r="S17" s="68">
        <f t="shared" si="41"/>
        <v>0</v>
      </c>
      <c r="U17" s="115">
        <f t="shared" si="51"/>
        <v>187.42</v>
      </c>
      <c r="V17" s="67">
        <f t="shared" si="1"/>
        <v>2.7447448027858858E-4</v>
      </c>
      <c r="W17" s="68">
        <f t="shared" si="42"/>
        <v>882.74</v>
      </c>
      <c r="X17" s="115"/>
      <c r="Y17" s="67">
        <f t="shared" si="2"/>
        <v>0</v>
      </c>
      <c r="Z17" s="68">
        <f t="shared" si="43"/>
        <v>0</v>
      </c>
      <c r="AB17" s="115">
        <f t="shared" si="52"/>
        <v>187.42</v>
      </c>
      <c r="AC17" s="67">
        <f t="shared" si="3"/>
        <v>2.7447758962539822E-4</v>
      </c>
      <c r="AD17" s="68">
        <f>L17-W17</f>
        <v>882.75</v>
      </c>
      <c r="AE17" s="115"/>
      <c r="AF17" s="67">
        <f t="shared" si="4"/>
        <v>0</v>
      </c>
      <c r="AG17" s="68">
        <f t="shared" si="44"/>
        <v>0</v>
      </c>
      <c r="AI17" s="115"/>
      <c r="AJ17" s="67">
        <f t="shared" si="5"/>
        <v>0</v>
      </c>
      <c r="AK17" s="68">
        <f t="shared" si="45"/>
        <v>0</v>
      </c>
      <c r="AL17" s="115"/>
      <c r="AM17" s="67">
        <f t="shared" si="6"/>
        <v>0</v>
      </c>
      <c r="AN17" s="68">
        <f t="shared" si="46"/>
        <v>0</v>
      </c>
      <c r="AP17" s="115"/>
      <c r="AQ17" s="67">
        <f t="shared" si="7"/>
        <v>0</v>
      </c>
      <c r="AR17" s="68">
        <f t="shared" si="47"/>
        <v>0</v>
      </c>
      <c r="AS17" s="115"/>
      <c r="AT17" s="67">
        <f t="shared" si="8"/>
        <v>0</v>
      </c>
      <c r="AU17" s="68">
        <f t="shared" si="48"/>
        <v>0</v>
      </c>
      <c r="AW17" s="115"/>
      <c r="AX17" s="67">
        <f t="shared" si="9"/>
        <v>0</v>
      </c>
      <c r="AY17" s="68">
        <f t="shared" si="49"/>
        <v>0</v>
      </c>
      <c r="AZ17" s="115"/>
      <c r="BA17" s="67">
        <f t="shared" si="10"/>
        <v>0</v>
      </c>
      <c r="BB17" s="68">
        <f t="shared" si="50"/>
        <v>0</v>
      </c>
      <c r="BD17" s="115">
        <f t="shared" si="36"/>
        <v>0</v>
      </c>
      <c r="BE17" s="67">
        <f t="shared" si="11"/>
        <v>0</v>
      </c>
      <c r="BF17" s="68">
        <f t="shared" si="37"/>
        <v>0</v>
      </c>
      <c r="BG17" s="133">
        <f t="shared" si="38"/>
        <v>374.84</v>
      </c>
      <c r="BH17" s="67">
        <f t="shared" si="12"/>
        <v>5.489520699039868E-4</v>
      </c>
      <c r="BI17" s="68">
        <f t="shared" si="39"/>
        <v>1765.49</v>
      </c>
      <c r="BJ17" s="117"/>
      <c r="BL17" s="92"/>
    </row>
    <row r="18" spans="1:64" ht="25.5" x14ac:dyDescent="0.25">
      <c r="A18" s="99" t="str">
        <f>'01 - Orçamento Sintético'!A18</f>
        <v xml:space="preserve"> 2.1.2 </v>
      </c>
      <c r="B18" s="99"/>
      <c r="C18" s="99"/>
      <c r="D18" s="99" t="str">
        <f>'01 - Orçamento Sintético'!D18</f>
        <v>Revestimentos Verticais</v>
      </c>
      <c r="E18" s="99"/>
      <c r="F18" s="93"/>
      <c r="G18" s="69"/>
      <c r="H18" s="69"/>
      <c r="I18" s="69"/>
      <c r="J18" s="69"/>
      <c r="K18" s="69"/>
      <c r="L18" s="70">
        <f>INDEX('01 - Orçamento Sintético'!$A$6:$AB$125,MATCH('02 - Planilha de Medição'!$A18,'01 - Orçamento Sintético'!$A$6:$A$125,0),28)</f>
        <v>55270.899999999994</v>
      </c>
      <c r="N18" s="116"/>
      <c r="O18" s="119">
        <f t="shared" si="14"/>
        <v>0</v>
      </c>
      <c r="P18" s="70">
        <f>SUM(P19:P22)</f>
        <v>0</v>
      </c>
      <c r="Q18" s="116"/>
      <c r="R18" s="119">
        <f t="shared" si="0"/>
        <v>0</v>
      </c>
      <c r="S18" s="70">
        <f>SUM(S19:S22)</f>
        <v>0</v>
      </c>
      <c r="U18" s="116"/>
      <c r="V18" s="119">
        <f t="shared" si="1"/>
        <v>1.7185639658370347E-2</v>
      </c>
      <c r="W18" s="70">
        <f>SUM(W19:W22)</f>
        <v>55270.899999999994</v>
      </c>
      <c r="X18" s="116"/>
      <c r="Y18" s="119">
        <f t="shared" si="2"/>
        <v>0</v>
      </c>
      <c r="Z18" s="70">
        <f>SUM(Z19:Z22)</f>
        <v>0</v>
      </c>
      <c r="AB18" s="116"/>
      <c r="AC18" s="119">
        <f t="shared" si="3"/>
        <v>0</v>
      </c>
      <c r="AD18" s="70">
        <f>SUM(AD19:AD22)</f>
        <v>0</v>
      </c>
      <c r="AE18" s="116"/>
      <c r="AF18" s="119">
        <f t="shared" si="4"/>
        <v>0</v>
      </c>
      <c r="AG18" s="70">
        <f>SUM(AG19:AG22)</f>
        <v>0</v>
      </c>
      <c r="AI18" s="116"/>
      <c r="AJ18" s="119">
        <f t="shared" si="5"/>
        <v>0</v>
      </c>
      <c r="AK18" s="70">
        <f>SUM(AK19:AK22)</f>
        <v>0</v>
      </c>
      <c r="AL18" s="116"/>
      <c r="AM18" s="119">
        <f t="shared" si="6"/>
        <v>0</v>
      </c>
      <c r="AN18" s="70">
        <f>SUM(AN19:AN22)</f>
        <v>0</v>
      </c>
      <c r="AP18" s="116"/>
      <c r="AQ18" s="119">
        <f t="shared" si="7"/>
        <v>0</v>
      </c>
      <c r="AR18" s="70">
        <f>SUM(AR19:AR22)</f>
        <v>0</v>
      </c>
      <c r="AS18" s="116"/>
      <c r="AT18" s="119">
        <f t="shared" si="8"/>
        <v>0</v>
      </c>
      <c r="AU18" s="70">
        <f>SUM(AU19:AU22)</f>
        <v>0</v>
      </c>
      <c r="AW18" s="116"/>
      <c r="AX18" s="119">
        <f t="shared" si="9"/>
        <v>0</v>
      </c>
      <c r="AY18" s="70">
        <f>SUM(AY19:AY22)</f>
        <v>0</v>
      </c>
      <c r="AZ18" s="116"/>
      <c r="BA18" s="119">
        <f t="shared" si="10"/>
        <v>0</v>
      </c>
      <c r="BB18" s="70">
        <f>SUM(BB19:BB22)</f>
        <v>0</v>
      </c>
      <c r="BD18" s="116"/>
      <c r="BE18" s="119">
        <f t="shared" si="11"/>
        <v>0</v>
      </c>
      <c r="BF18" s="70">
        <f>SUM(BF19:BF22)</f>
        <v>0</v>
      </c>
      <c r="BG18" s="134"/>
      <c r="BH18" s="119">
        <f t="shared" si="12"/>
        <v>1.7185639658370347E-2</v>
      </c>
      <c r="BI18" s="70">
        <f>SUM(BI19:BI22)</f>
        <v>55270.899999999994</v>
      </c>
      <c r="BJ18" s="117"/>
      <c r="BL18" s="92"/>
    </row>
    <row r="19" spans="1:64" ht="25.5" x14ac:dyDescent="0.25">
      <c r="A19" s="100" t="str">
        <f>'01 - Orçamento Sintético'!A19</f>
        <v xml:space="preserve"> 2.1.2.1 </v>
      </c>
      <c r="B19" s="101" t="str">
        <f>'01 - Orçamento Sintético'!B19</f>
        <v xml:space="preserve"> 12631 </v>
      </c>
      <c r="C19" s="100" t="str">
        <f>'01 - Orçamento Sintético'!C19</f>
        <v>ORSE</v>
      </c>
      <c r="D19" s="100" t="str">
        <f>'01 - Orçamento Sintético'!D19</f>
        <v>Retirada de divisória tipo naval</v>
      </c>
      <c r="E19" s="94" t="str">
        <f>'01 - Orçamento Sintético'!E19</f>
        <v>m²</v>
      </c>
      <c r="F19" s="94">
        <f>'01 - Orçamento Sintético'!F19</f>
        <v>759.33</v>
      </c>
      <c r="G19" s="68">
        <f>INDEX('01 - Orçamento Sintético'!$A$6:$AB$125,MATCH('02 - Planilha de Medição'!$A19,'01 - Orçamento Sintético'!$A$6:$A$125,0),23)</f>
        <v>39.56</v>
      </c>
      <c r="H19" s="68">
        <f>INDEX('01 - Orçamento Sintético'!$A$6:$AB$125,MATCH('02 - Planilha de Medição'!$A19,'01 - Orçamento Sintético'!$A$6:$A$125,0),24)</f>
        <v>13.099999999999994</v>
      </c>
      <c r="I19" s="68">
        <f>INDEX('01 - Orçamento Sintético'!$A$6:$AB$125,MATCH('02 - Planilha de Medição'!$A19,'01 - Orçamento Sintético'!$A$6:$A$125,0),25)</f>
        <v>52.66</v>
      </c>
      <c r="J19" s="68">
        <f>INDEX('01 - Orçamento Sintético'!$A$6:$AB$125,MATCH('02 - Planilha de Medição'!$A19,'01 - Orçamento Sintético'!$A$6:$A$125,0),26)</f>
        <v>30039.09</v>
      </c>
      <c r="K19" s="68">
        <f>INDEX('01 - Orçamento Sintético'!$A$6:$AB$125,MATCH('02 - Planilha de Medição'!$A19,'01 - Orçamento Sintético'!$A$6:$A$125,0),27)</f>
        <v>9947.2199999999975</v>
      </c>
      <c r="L19" s="68">
        <f>INDEX('01 - Orçamento Sintético'!$A$6:$AB$125,MATCH('02 - Planilha de Medição'!$A19,'01 - Orçamento Sintético'!$A$6:$A$125,0),28)</f>
        <v>39986.31</v>
      </c>
      <c r="N19" s="115"/>
      <c r="O19" s="67">
        <f t="shared" si="14"/>
        <v>0</v>
      </c>
      <c r="P19" s="68">
        <f t="shared" ref="P19:P22" si="53">TRUNC(N19*$I19,2)</f>
        <v>0</v>
      </c>
      <c r="Q19" s="115"/>
      <c r="R19" s="67">
        <f t="shared" si="0"/>
        <v>0</v>
      </c>
      <c r="S19" s="68">
        <f t="shared" ref="S19:S22" si="54">TRUNC(Q19*$I19,2)</f>
        <v>0</v>
      </c>
      <c r="U19" s="115">
        <f>F19</f>
        <v>759.33</v>
      </c>
      <c r="V19" s="67">
        <f t="shared" si="1"/>
        <v>1.2433130542978146E-2</v>
      </c>
      <c r="W19" s="68">
        <f t="shared" ref="W19:W22" si="55">TRUNC(U19*$I19,2)</f>
        <v>39986.31</v>
      </c>
      <c r="X19" s="115"/>
      <c r="Y19" s="67">
        <f t="shared" si="2"/>
        <v>0</v>
      </c>
      <c r="Z19" s="68">
        <f t="shared" ref="Z19:Z22" si="56">TRUNC(X19*$I19,2)</f>
        <v>0</v>
      </c>
      <c r="AB19" s="115"/>
      <c r="AC19" s="67">
        <f t="shared" si="3"/>
        <v>0</v>
      </c>
      <c r="AD19" s="68">
        <f t="shared" ref="AD19:AD22" si="57">TRUNC(AB19*$I19,2)</f>
        <v>0</v>
      </c>
      <c r="AE19" s="115"/>
      <c r="AF19" s="67">
        <f t="shared" si="4"/>
        <v>0</v>
      </c>
      <c r="AG19" s="68">
        <f t="shared" ref="AG19:AG22" si="58">TRUNC(AE19*$I19,2)</f>
        <v>0</v>
      </c>
      <c r="AI19" s="115"/>
      <c r="AJ19" s="67">
        <f t="shared" si="5"/>
        <v>0</v>
      </c>
      <c r="AK19" s="68">
        <f t="shared" ref="AK19:AK22" si="59">TRUNC(AI19*$I19,2)</f>
        <v>0</v>
      </c>
      <c r="AL19" s="115"/>
      <c r="AM19" s="67">
        <f t="shared" si="6"/>
        <v>0</v>
      </c>
      <c r="AN19" s="68">
        <f t="shared" ref="AN19:AN22" si="60">TRUNC(AL19*$I19,2)</f>
        <v>0</v>
      </c>
      <c r="AP19" s="115"/>
      <c r="AQ19" s="67">
        <f t="shared" si="7"/>
        <v>0</v>
      </c>
      <c r="AR19" s="68">
        <f t="shared" ref="AR19:AR22" si="61">TRUNC(AP19*$I19,2)</f>
        <v>0</v>
      </c>
      <c r="AS19" s="115"/>
      <c r="AT19" s="67">
        <f t="shared" si="8"/>
        <v>0</v>
      </c>
      <c r="AU19" s="68">
        <f t="shared" ref="AU19:AU22" si="62">TRUNC(AS19*$I19,2)</f>
        <v>0</v>
      </c>
      <c r="AW19" s="115"/>
      <c r="AX19" s="67">
        <f t="shared" si="9"/>
        <v>0</v>
      </c>
      <c r="AY19" s="68">
        <f t="shared" ref="AY19:AY22" si="63">TRUNC(AW19*$I19,2)</f>
        <v>0</v>
      </c>
      <c r="AZ19" s="115"/>
      <c r="BA19" s="67">
        <f t="shared" si="10"/>
        <v>0</v>
      </c>
      <c r="BB19" s="68">
        <f t="shared" ref="BB19:BB22" si="64">TRUNC(AZ19*$I19,2)</f>
        <v>0</v>
      </c>
      <c r="BD19" s="115">
        <f t="shared" ref="BD19:BD22" si="65">SUM(Q19,X19,AE19,AL19,AS19,AZ19)</f>
        <v>0</v>
      </c>
      <c r="BE19" s="67">
        <f t="shared" si="11"/>
        <v>0</v>
      </c>
      <c r="BF19" s="68">
        <f t="shared" ref="BF19:BF22" si="66">TRUNC(BD19*$I19,2)</f>
        <v>0</v>
      </c>
      <c r="BG19" s="133">
        <f t="shared" ref="BG19:BG22" si="67">$F19-BD19</f>
        <v>759.33</v>
      </c>
      <c r="BH19" s="67">
        <f t="shared" si="12"/>
        <v>1.2433130542978146E-2</v>
      </c>
      <c r="BI19" s="68">
        <f t="shared" ref="BI19:BI22" si="68">TRUNC(BG19*$I19,2)</f>
        <v>39986.31</v>
      </c>
      <c r="BJ19" s="117"/>
      <c r="BL19" s="92"/>
    </row>
    <row r="20" spans="1:64" x14ac:dyDescent="0.25">
      <c r="A20" s="100" t="str">
        <f>'01 - Orçamento Sintético'!A20</f>
        <v xml:space="preserve"> 2.1.2.2 </v>
      </c>
      <c r="B20" s="101" t="str">
        <f>'01 - Orçamento Sintético'!B20</f>
        <v xml:space="preserve"> 022711 </v>
      </c>
      <c r="C20" s="100" t="str">
        <f>'01 - Orçamento Sintético'!C20</f>
        <v>SBC</v>
      </c>
      <c r="D20" s="100" t="str">
        <f>'01 - Orçamento Sintético'!D20</f>
        <v>RETIRADA DE PORTAS</v>
      </c>
      <c r="E20" s="94" t="str">
        <f>'01 - Orçamento Sintético'!E20</f>
        <v>UN</v>
      </c>
      <c r="F20" s="94">
        <f>'01 - Orçamento Sintético'!F20</f>
        <v>32</v>
      </c>
      <c r="G20" s="68">
        <f>INDEX('01 - Orçamento Sintético'!$A$6:$AB$125,MATCH('02 - Planilha de Medição'!$A20,'01 - Orçamento Sintético'!$A$6:$A$125,0),23)</f>
        <v>111.56</v>
      </c>
      <c r="H20" s="68">
        <f>INDEX('01 - Orçamento Sintético'!$A$6:$AB$125,MATCH('02 - Planilha de Medição'!$A20,'01 - Orçamento Sintético'!$A$6:$A$125,0),24)</f>
        <v>45.829999999999984</v>
      </c>
      <c r="I20" s="68">
        <f>INDEX('01 - Orçamento Sintético'!$A$6:$AB$125,MATCH('02 - Planilha de Medição'!$A20,'01 - Orçamento Sintético'!$A$6:$A$125,0),25)</f>
        <v>157.38999999999999</v>
      </c>
      <c r="J20" s="68">
        <f>INDEX('01 - Orçamento Sintético'!$A$6:$AB$125,MATCH('02 - Planilha de Medição'!$A20,'01 - Orçamento Sintético'!$A$6:$A$125,0),26)</f>
        <v>3569.92</v>
      </c>
      <c r="K20" s="68">
        <f>INDEX('01 - Orçamento Sintético'!$A$6:$AB$125,MATCH('02 - Planilha de Medição'!$A20,'01 - Orçamento Sintético'!$A$6:$A$125,0),27)</f>
        <v>1466.5599999999995</v>
      </c>
      <c r="L20" s="68">
        <f>INDEX('01 - Orçamento Sintético'!$A$6:$AB$125,MATCH('02 - Planilha de Medição'!$A20,'01 - Orçamento Sintético'!$A$6:$A$125,0),28)</f>
        <v>5036.4799999999996</v>
      </c>
      <c r="N20" s="115"/>
      <c r="O20" s="67">
        <f t="shared" si="14"/>
        <v>0</v>
      </c>
      <c r="P20" s="68">
        <f t="shared" si="53"/>
        <v>0</v>
      </c>
      <c r="Q20" s="115"/>
      <c r="R20" s="67">
        <f t="shared" si="0"/>
        <v>0</v>
      </c>
      <c r="S20" s="68">
        <f t="shared" si="54"/>
        <v>0</v>
      </c>
      <c r="U20" s="115">
        <f t="shared" ref="U20:U22" si="69">F20</f>
        <v>32</v>
      </c>
      <c r="V20" s="67">
        <f t="shared" si="1"/>
        <v>1.566016302006826E-3</v>
      </c>
      <c r="W20" s="68">
        <f t="shared" si="55"/>
        <v>5036.4799999999996</v>
      </c>
      <c r="X20" s="115"/>
      <c r="Y20" s="67">
        <f t="shared" si="2"/>
        <v>0</v>
      </c>
      <c r="Z20" s="68">
        <f t="shared" si="56"/>
        <v>0</v>
      </c>
      <c r="AB20" s="115"/>
      <c r="AC20" s="67">
        <f t="shared" si="3"/>
        <v>0</v>
      </c>
      <c r="AD20" s="68">
        <f t="shared" si="57"/>
        <v>0</v>
      </c>
      <c r="AE20" s="115"/>
      <c r="AF20" s="67">
        <f t="shared" si="4"/>
        <v>0</v>
      </c>
      <c r="AG20" s="68">
        <f t="shared" si="58"/>
        <v>0</v>
      </c>
      <c r="AI20" s="115"/>
      <c r="AJ20" s="67">
        <f t="shared" si="5"/>
        <v>0</v>
      </c>
      <c r="AK20" s="68">
        <f t="shared" si="59"/>
        <v>0</v>
      </c>
      <c r="AL20" s="115"/>
      <c r="AM20" s="67">
        <f t="shared" si="6"/>
        <v>0</v>
      </c>
      <c r="AN20" s="68">
        <f t="shared" si="60"/>
        <v>0</v>
      </c>
      <c r="AP20" s="115"/>
      <c r="AQ20" s="67">
        <f t="shared" si="7"/>
        <v>0</v>
      </c>
      <c r="AR20" s="68">
        <f t="shared" si="61"/>
        <v>0</v>
      </c>
      <c r="AS20" s="115"/>
      <c r="AT20" s="67">
        <f t="shared" si="8"/>
        <v>0</v>
      </c>
      <c r="AU20" s="68">
        <f t="shared" si="62"/>
        <v>0</v>
      </c>
      <c r="AW20" s="115"/>
      <c r="AX20" s="67">
        <f t="shared" si="9"/>
        <v>0</v>
      </c>
      <c r="AY20" s="68">
        <f t="shared" si="63"/>
        <v>0</v>
      </c>
      <c r="AZ20" s="115"/>
      <c r="BA20" s="67">
        <f t="shared" si="10"/>
        <v>0</v>
      </c>
      <c r="BB20" s="68">
        <f t="shared" si="64"/>
        <v>0</v>
      </c>
      <c r="BD20" s="115">
        <f t="shared" si="65"/>
        <v>0</v>
      </c>
      <c r="BE20" s="67">
        <f t="shared" si="11"/>
        <v>0</v>
      </c>
      <c r="BF20" s="68">
        <f t="shared" si="66"/>
        <v>0</v>
      </c>
      <c r="BG20" s="133">
        <f t="shared" si="67"/>
        <v>32</v>
      </c>
      <c r="BH20" s="67">
        <f t="shared" si="12"/>
        <v>1.566016302006826E-3</v>
      </c>
      <c r="BI20" s="68">
        <f t="shared" si="68"/>
        <v>5036.4799999999996</v>
      </c>
      <c r="BJ20" s="117"/>
      <c r="BL20" s="92"/>
    </row>
    <row r="21" spans="1:64" ht="25.5" x14ac:dyDescent="0.25">
      <c r="A21" s="100" t="str">
        <f>'01 - Orçamento Sintético'!A21</f>
        <v xml:space="preserve"> 2.1.2.3 </v>
      </c>
      <c r="B21" s="101" t="str">
        <f>'01 - Orçamento Sintético'!B21</f>
        <v xml:space="preserve"> elétrica </v>
      </c>
      <c r="C21" s="100" t="str">
        <f>'01 - Orçamento Sintético'!C21</f>
        <v>Próprio</v>
      </c>
      <c r="D21" s="100" t="str">
        <f>'01 - Orçamento Sintético'!D21</f>
        <v>REMOÇÃO DE ELETROCALHA</v>
      </c>
      <c r="E21" s="94" t="str">
        <f>'01 - Orçamento Sintético'!E21</f>
        <v>M</v>
      </c>
      <c r="F21" s="94">
        <f>'01 - Orçamento Sintético'!F21</f>
        <v>18.600000000000001</v>
      </c>
      <c r="G21" s="68">
        <f>INDEX('01 - Orçamento Sintético'!$A$6:$AB$125,MATCH('02 - Planilha de Medição'!$A21,'01 - Orçamento Sintético'!$A$6:$A$125,0),23)</f>
        <v>23.86</v>
      </c>
      <c r="H21" s="68">
        <f>INDEX('01 - Orçamento Sintético'!$A$6:$AB$125,MATCH('02 - Planilha de Medição'!$A21,'01 - Orçamento Sintético'!$A$6:$A$125,0),24)</f>
        <v>8.980000000000004</v>
      </c>
      <c r="I21" s="68">
        <f>INDEX('01 - Orçamento Sintético'!$A$6:$AB$125,MATCH('02 - Planilha de Medição'!$A21,'01 - Orçamento Sintético'!$A$6:$A$125,0),25)</f>
        <v>32.840000000000003</v>
      </c>
      <c r="J21" s="68">
        <f>INDEX('01 - Orçamento Sintético'!$A$6:$AB$125,MATCH('02 - Planilha de Medição'!$A21,'01 - Orçamento Sintético'!$A$6:$A$125,0),26)</f>
        <v>443.79</v>
      </c>
      <c r="K21" s="68">
        <f>INDEX('01 - Orçamento Sintético'!$A$6:$AB$125,MATCH('02 - Planilha de Medição'!$A21,'01 - Orçamento Sintético'!$A$6:$A$125,0),27)</f>
        <v>167.03000000000003</v>
      </c>
      <c r="L21" s="68">
        <f>INDEX('01 - Orçamento Sintético'!$A$6:$AB$125,MATCH('02 - Planilha de Medição'!$A21,'01 - Orçamento Sintético'!$A$6:$A$125,0),28)</f>
        <v>610.82000000000005</v>
      </c>
      <c r="N21" s="115"/>
      <c r="O21" s="67">
        <f t="shared" si="14"/>
        <v>0</v>
      </c>
      <c r="P21" s="68">
        <f t="shared" si="53"/>
        <v>0</v>
      </c>
      <c r="Q21" s="115"/>
      <c r="R21" s="67">
        <f t="shared" si="0"/>
        <v>0</v>
      </c>
      <c r="S21" s="68">
        <f t="shared" si="54"/>
        <v>0</v>
      </c>
      <c r="U21" s="115">
        <f t="shared" si="69"/>
        <v>18.600000000000001</v>
      </c>
      <c r="V21" s="67">
        <f t="shared" si="1"/>
        <v>1.8992512182949394E-4</v>
      </c>
      <c r="W21" s="68">
        <f t="shared" si="55"/>
        <v>610.82000000000005</v>
      </c>
      <c r="X21" s="115"/>
      <c r="Y21" s="67">
        <f t="shared" si="2"/>
        <v>0</v>
      </c>
      <c r="Z21" s="68">
        <f t="shared" si="56"/>
        <v>0</v>
      </c>
      <c r="AB21" s="115"/>
      <c r="AC21" s="67">
        <f t="shared" si="3"/>
        <v>0</v>
      </c>
      <c r="AD21" s="68">
        <f t="shared" si="57"/>
        <v>0</v>
      </c>
      <c r="AE21" s="115"/>
      <c r="AF21" s="67">
        <f t="shared" si="4"/>
        <v>0</v>
      </c>
      <c r="AG21" s="68">
        <f t="shared" si="58"/>
        <v>0</v>
      </c>
      <c r="AI21" s="115"/>
      <c r="AJ21" s="67">
        <f t="shared" si="5"/>
        <v>0</v>
      </c>
      <c r="AK21" s="68">
        <f t="shared" si="59"/>
        <v>0</v>
      </c>
      <c r="AL21" s="115"/>
      <c r="AM21" s="67">
        <f t="shared" si="6"/>
        <v>0</v>
      </c>
      <c r="AN21" s="68">
        <f t="shared" si="60"/>
        <v>0</v>
      </c>
      <c r="AP21" s="115"/>
      <c r="AQ21" s="67">
        <f t="shared" si="7"/>
        <v>0</v>
      </c>
      <c r="AR21" s="68">
        <f t="shared" si="61"/>
        <v>0</v>
      </c>
      <c r="AS21" s="115"/>
      <c r="AT21" s="67">
        <f t="shared" si="8"/>
        <v>0</v>
      </c>
      <c r="AU21" s="68">
        <f t="shared" si="62"/>
        <v>0</v>
      </c>
      <c r="AW21" s="115"/>
      <c r="AX21" s="67">
        <f t="shared" si="9"/>
        <v>0</v>
      </c>
      <c r="AY21" s="68">
        <f t="shared" si="63"/>
        <v>0</v>
      </c>
      <c r="AZ21" s="115"/>
      <c r="BA21" s="67">
        <f t="shared" si="10"/>
        <v>0</v>
      </c>
      <c r="BB21" s="68">
        <f t="shared" si="64"/>
        <v>0</v>
      </c>
      <c r="BD21" s="115">
        <f t="shared" si="65"/>
        <v>0</v>
      </c>
      <c r="BE21" s="67">
        <f t="shared" si="11"/>
        <v>0</v>
      </c>
      <c r="BF21" s="68">
        <f t="shared" si="66"/>
        <v>0</v>
      </c>
      <c r="BG21" s="133">
        <f t="shared" si="67"/>
        <v>18.600000000000001</v>
      </c>
      <c r="BH21" s="67">
        <f t="shared" si="12"/>
        <v>1.8992512182949394E-4</v>
      </c>
      <c r="BI21" s="68">
        <f t="shared" si="68"/>
        <v>610.82000000000005</v>
      </c>
      <c r="BJ21" s="117"/>
      <c r="BL21" s="92"/>
    </row>
    <row r="22" spans="1:64" ht="51" x14ac:dyDescent="0.25">
      <c r="A22" s="100" t="str">
        <f>'01 - Orçamento Sintético'!A22</f>
        <v xml:space="preserve"> 2.1.2.4 </v>
      </c>
      <c r="B22" s="101" t="str">
        <f>'01 - Orçamento Sintético'!B22</f>
        <v xml:space="preserve"> 7725 </v>
      </c>
      <c r="C22" s="100" t="str">
        <f>'01 - Orçamento Sintético'!C22</f>
        <v>ORSE</v>
      </c>
      <c r="D22" s="100" t="str">
        <f>'01 - Orçamento Sintético'!D22</f>
        <v>Remoção de pintura látex (raspagem e/ou lixamento e/ou escovação)</v>
      </c>
      <c r="E22" s="94" t="str">
        <f>'01 - Orçamento Sintético'!E22</f>
        <v>m²</v>
      </c>
      <c r="F22" s="94">
        <f>'01 - Orçamento Sintético'!F22</f>
        <v>696.84</v>
      </c>
      <c r="G22" s="68">
        <f>INDEX('01 - Orçamento Sintético'!$A$6:$AB$125,MATCH('02 - Planilha de Medição'!$A22,'01 - Orçamento Sintético'!$A$6:$A$125,0),23)</f>
        <v>9.39</v>
      </c>
      <c r="H22" s="68">
        <f>INDEX('01 - Orçamento Sintético'!$A$6:$AB$125,MATCH('02 - Planilha de Medição'!$A22,'01 - Orçamento Sintético'!$A$6:$A$125,0),24)</f>
        <v>4.4399999999999995</v>
      </c>
      <c r="I22" s="68">
        <f>INDEX('01 - Orçamento Sintético'!$A$6:$AB$125,MATCH('02 - Planilha de Medição'!$A22,'01 - Orçamento Sintético'!$A$6:$A$125,0),25)</f>
        <v>13.83</v>
      </c>
      <c r="J22" s="68">
        <f>INDEX('01 - Orçamento Sintético'!$A$6:$AB$125,MATCH('02 - Planilha de Medição'!$A22,'01 - Orçamento Sintético'!$A$6:$A$125,0),26)</f>
        <v>6543.32</v>
      </c>
      <c r="K22" s="68">
        <f>INDEX('01 - Orçamento Sintético'!$A$6:$AB$125,MATCH('02 - Planilha de Medição'!$A22,'01 - Orçamento Sintético'!$A$6:$A$125,0),27)</f>
        <v>3093.9700000000012</v>
      </c>
      <c r="L22" s="68">
        <f>INDEX('01 - Orçamento Sintético'!$A$6:$AB$125,MATCH('02 - Planilha de Medição'!$A22,'01 - Orçamento Sintético'!$A$6:$A$125,0),28)</f>
        <v>9637.2900000000009</v>
      </c>
      <c r="N22" s="115"/>
      <c r="O22" s="67">
        <f t="shared" si="14"/>
        <v>0</v>
      </c>
      <c r="P22" s="68">
        <f t="shared" si="53"/>
        <v>0</v>
      </c>
      <c r="Q22" s="115"/>
      <c r="R22" s="67">
        <f t="shared" si="0"/>
        <v>0</v>
      </c>
      <c r="S22" s="68">
        <f t="shared" si="54"/>
        <v>0</v>
      </c>
      <c r="U22" s="115">
        <f t="shared" si="69"/>
        <v>696.84</v>
      </c>
      <c r="V22" s="67">
        <f t="shared" si="1"/>
        <v>2.9965676915558815E-3</v>
      </c>
      <c r="W22" s="68">
        <f t="shared" si="55"/>
        <v>9637.2900000000009</v>
      </c>
      <c r="X22" s="115"/>
      <c r="Y22" s="67">
        <f t="shared" si="2"/>
        <v>0</v>
      </c>
      <c r="Z22" s="68">
        <f t="shared" si="56"/>
        <v>0</v>
      </c>
      <c r="AB22" s="115"/>
      <c r="AC22" s="67">
        <f t="shared" si="3"/>
        <v>0</v>
      </c>
      <c r="AD22" s="68">
        <f t="shared" si="57"/>
        <v>0</v>
      </c>
      <c r="AE22" s="115"/>
      <c r="AF22" s="67">
        <f t="shared" si="4"/>
        <v>0</v>
      </c>
      <c r="AG22" s="68">
        <f t="shared" si="58"/>
        <v>0</v>
      </c>
      <c r="AI22" s="115"/>
      <c r="AJ22" s="67">
        <f t="shared" si="5"/>
        <v>0</v>
      </c>
      <c r="AK22" s="68">
        <f t="shared" si="59"/>
        <v>0</v>
      </c>
      <c r="AL22" s="115"/>
      <c r="AM22" s="67">
        <f t="shared" si="6"/>
        <v>0</v>
      </c>
      <c r="AN22" s="68">
        <f t="shared" si="60"/>
        <v>0</v>
      </c>
      <c r="AP22" s="115"/>
      <c r="AQ22" s="67">
        <f t="shared" si="7"/>
        <v>0</v>
      </c>
      <c r="AR22" s="68">
        <f t="shared" si="61"/>
        <v>0</v>
      </c>
      <c r="AS22" s="115"/>
      <c r="AT22" s="67">
        <f t="shared" si="8"/>
        <v>0</v>
      </c>
      <c r="AU22" s="68">
        <f t="shared" si="62"/>
        <v>0</v>
      </c>
      <c r="AW22" s="115"/>
      <c r="AX22" s="67">
        <f t="shared" si="9"/>
        <v>0</v>
      </c>
      <c r="AY22" s="68">
        <f t="shared" si="63"/>
        <v>0</v>
      </c>
      <c r="AZ22" s="115"/>
      <c r="BA22" s="67">
        <f t="shared" si="10"/>
        <v>0</v>
      </c>
      <c r="BB22" s="68">
        <f t="shared" si="64"/>
        <v>0</v>
      </c>
      <c r="BD22" s="115">
        <f t="shared" si="65"/>
        <v>0</v>
      </c>
      <c r="BE22" s="67">
        <f t="shared" si="11"/>
        <v>0</v>
      </c>
      <c r="BF22" s="68">
        <f t="shared" si="66"/>
        <v>0</v>
      </c>
      <c r="BG22" s="133">
        <f t="shared" si="67"/>
        <v>696.84</v>
      </c>
      <c r="BH22" s="67">
        <f t="shared" si="12"/>
        <v>2.9965676915558815E-3</v>
      </c>
      <c r="BI22" s="68">
        <f t="shared" si="68"/>
        <v>9637.2900000000009</v>
      </c>
      <c r="BJ22" s="117"/>
      <c r="BL22" s="92"/>
    </row>
    <row r="23" spans="1:64" x14ac:dyDescent="0.25">
      <c r="A23" s="99" t="str">
        <f>'01 - Orçamento Sintético'!A23</f>
        <v xml:space="preserve"> 2.1.3 </v>
      </c>
      <c r="B23" s="99"/>
      <c r="C23" s="99"/>
      <c r="D23" s="99" t="str">
        <f>'01 - Orçamento Sintético'!D23</f>
        <v>Esquadrias</v>
      </c>
      <c r="E23" s="99"/>
      <c r="F23" s="93"/>
      <c r="G23" s="69"/>
      <c r="H23" s="69"/>
      <c r="I23" s="69"/>
      <c r="J23" s="69"/>
      <c r="K23" s="69"/>
      <c r="L23" s="70">
        <f>INDEX('01 - Orçamento Sintético'!$A$6:$AB$125,MATCH('02 - Planilha de Medição'!$A23,'01 - Orçamento Sintético'!$A$6:$A$125,0),28)</f>
        <v>20947.72</v>
      </c>
      <c r="N23" s="116"/>
      <c r="O23" s="120">
        <f t="shared" si="14"/>
        <v>0</v>
      </c>
      <c r="P23" s="70">
        <f>SUM(P24:P26)</f>
        <v>0</v>
      </c>
      <c r="Q23" s="116"/>
      <c r="R23" s="120">
        <f t="shared" si="0"/>
        <v>0</v>
      </c>
      <c r="S23" s="70">
        <f>SUM(S24:S26)</f>
        <v>0</v>
      </c>
      <c r="U23" s="116"/>
      <c r="V23" s="120">
        <f t="shared" si="1"/>
        <v>6.5133726352282614E-3</v>
      </c>
      <c r="W23" s="70">
        <f>SUM(W24:W26)</f>
        <v>20947.72</v>
      </c>
      <c r="X23" s="116"/>
      <c r="Y23" s="120">
        <f t="shared" si="2"/>
        <v>0</v>
      </c>
      <c r="Z23" s="70">
        <f>SUM(Z24:Z26)</f>
        <v>0</v>
      </c>
      <c r="AB23" s="116"/>
      <c r="AC23" s="120">
        <f t="shared" si="3"/>
        <v>0</v>
      </c>
      <c r="AD23" s="70">
        <f>SUM(AD24:AD26)</f>
        <v>0</v>
      </c>
      <c r="AE23" s="116"/>
      <c r="AF23" s="120">
        <f t="shared" si="4"/>
        <v>0</v>
      </c>
      <c r="AG23" s="70">
        <f>SUM(AG24:AG26)</f>
        <v>0</v>
      </c>
      <c r="AI23" s="116"/>
      <c r="AJ23" s="120">
        <f t="shared" si="5"/>
        <v>0</v>
      </c>
      <c r="AK23" s="70">
        <f>SUM(AK24:AK26)</f>
        <v>0</v>
      </c>
      <c r="AL23" s="116"/>
      <c r="AM23" s="120">
        <f t="shared" si="6"/>
        <v>0</v>
      </c>
      <c r="AN23" s="70">
        <f>SUM(AN24:AN26)</f>
        <v>0</v>
      </c>
      <c r="AP23" s="116"/>
      <c r="AQ23" s="120">
        <f t="shared" si="7"/>
        <v>0</v>
      </c>
      <c r="AR23" s="70">
        <f>SUM(AR24:AR26)</f>
        <v>0</v>
      </c>
      <c r="AS23" s="116"/>
      <c r="AT23" s="120">
        <f t="shared" si="8"/>
        <v>0</v>
      </c>
      <c r="AU23" s="70">
        <f>SUM(AU24:AU26)</f>
        <v>0</v>
      </c>
      <c r="AW23" s="116"/>
      <c r="AX23" s="120">
        <f t="shared" si="9"/>
        <v>0</v>
      </c>
      <c r="AY23" s="70">
        <f>SUM(AY24:AY26)</f>
        <v>0</v>
      </c>
      <c r="AZ23" s="116"/>
      <c r="BA23" s="120">
        <f t="shared" si="10"/>
        <v>0</v>
      </c>
      <c r="BB23" s="70">
        <f>SUM(BB24:BB26)</f>
        <v>0</v>
      </c>
      <c r="BD23" s="116"/>
      <c r="BE23" s="120">
        <f t="shared" si="11"/>
        <v>0</v>
      </c>
      <c r="BF23" s="70">
        <f>SUM(BF24:BF26)</f>
        <v>0</v>
      </c>
      <c r="BG23" s="134"/>
      <c r="BH23" s="120">
        <f t="shared" si="12"/>
        <v>6.5133726352282614E-3</v>
      </c>
      <c r="BI23" s="70">
        <f>SUM(BI24:BI26)</f>
        <v>20947.72</v>
      </c>
      <c r="BJ23" s="117"/>
      <c r="BL23" s="92"/>
    </row>
    <row r="24" spans="1:64" x14ac:dyDescent="0.25">
      <c r="A24" s="100" t="str">
        <f>'01 - Orçamento Sintético'!A24</f>
        <v xml:space="preserve"> 2.1.3.1 </v>
      </c>
      <c r="B24" s="101" t="str">
        <f>'01 - Orçamento Sintético'!B24</f>
        <v xml:space="preserve"> 022509 </v>
      </c>
      <c r="C24" s="100" t="str">
        <f>'01 - Orçamento Sintético'!C24</f>
        <v>SBC</v>
      </c>
      <c r="D24" s="100" t="str">
        <f>'01 - Orçamento Sintético'!D24</f>
        <v>RETIRADA JANELAS</v>
      </c>
      <c r="E24" s="94" t="str">
        <f>'01 - Orçamento Sintético'!E24</f>
        <v>m²</v>
      </c>
      <c r="F24" s="94">
        <f>'01 - Orçamento Sintético'!F24</f>
        <v>152.86000000000001</v>
      </c>
      <c r="G24" s="68">
        <f>INDEX('01 - Orçamento Sintético'!$A$6:$AB$125,MATCH('02 - Planilha de Medição'!$A24,'01 - Orçamento Sintético'!$A$6:$A$125,0),23)</f>
        <v>55.16</v>
      </c>
      <c r="H24" s="68">
        <f>INDEX('01 - Orçamento Sintético'!$A$6:$AB$125,MATCH('02 - Planilha de Medição'!$A24,'01 - Orçamento Sintético'!$A$6:$A$125,0),24)</f>
        <v>24.180000000000007</v>
      </c>
      <c r="I24" s="68">
        <f>INDEX('01 - Orçamento Sintético'!$A$6:$AB$125,MATCH('02 - Planilha de Medição'!$A24,'01 - Orçamento Sintético'!$A$6:$A$125,0),25)</f>
        <v>79.34</v>
      </c>
      <c r="J24" s="68">
        <f>INDEX('01 - Orçamento Sintético'!$A$6:$AB$125,MATCH('02 - Planilha de Medição'!$A24,'01 - Orçamento Sintético'!$A$6:$A$125,0),26)</f>
        <v>8431.75</v>
      </c>
      <c r="K24" s="68">
        <f>INDEX('01 - Orçamento Sintético'!$A$6:$AB$125,MATCH('02 - Planilha de Medição'!$A24,'01 - Orçamento Sintético'!$A$6:$A$125,0),27)</f>
        <v>3696.16</v>
      </c>
      <c r="L24" s="68">
        <f>INDEX('01 - Orçamento Sintético'!$A$6:$AB$125,MATCH('02 - Planilha de Medição'!$A24,'01 - Orçamento Sintético'!$A$6:$A$125,0),28)</f>
        <v>12127.91</v>
      </c>
      <c r="N24" s="115"/>
      <c r="O24" s="67">
        <f t="shared" si="14"/>
        <v>0</v>
      </c>
      <c r="P24" s="68">
        <f t="shared" ref="P24:P26" si="70">TRUNC(N24*$I24,2)</f>
        <v>0</v>
      </c>
      <c r="Q24" s="115"/>
      <c r="R24" s="67">
        <f t="shared" si="0"/>
        <v>0</v>
      </c>
      <c r="S24" s="68">
        <f t="shared" ref="S24:S26" si="71">TRUNC(Q24*$I24,2)</f>
        <v>0</v>
      </c>
      <c r="U24" s="115">
        <f>F24</f>
        <v>152.86000000000001</v>
      </c>
      <c r="V24" s="67">
        <f t="shared" si="1"/>
        <v>3.77098782667093E-3</v>
      </c>
      <c r="W24" s="68">
        <f t="shared" ref="W24:W26" si="72">TRUNC(U24*$I24,2)</f>
        <v>12127.91</v>
      </c>
      <c r="X24" s="115"/>
      <c r="Y24" s="67">
        <f t="shared" si="2"/>
        <v>0</v>
      </c>
      <c r="Z24" s="68">
        <f t="shared" ref="Z24:Z26" si="73">TRUNC(X24*$I24,2)</f>
        <v>0</v>
      </c>
      <c r="AB24" s="115"/>
      <c r="AC24" s="67">
        <f t="shared" si="3"/>
        <v>0</v>
      </c>
      <c r="AD24" s="68">
        <f t="shared" ref="AD24:AD26" si="74">TRUNC(AB24*$I24,2)</f>
        <v>0</v>
      </c>
      <c r="AE24" s="115"/>
      <c r="AF24" s="67">
        <f t="shared" si="4"/>
        <v>0</v>
      </c>
      <c r="AG24" s="68">
        <f t="shared" ref="AG24:AG26" si="75">TRUNC(AE24*$I24,2)</f>
        <v>0</v>
      </c>
      <c r="AI24" s="115"/>
      <c r="AJ24" s="67">
        <f t="shared" si="5"/>
        <v>0</v>
      </c>
      <c r="AK24" s="68">
        <f t="shared" ref="AK24:AK26" si="76">TRUNC(AI24*$I24,2)</f>
        <v>0</v>
      </c>
      <c r="AL24" s="115"/>
      <c r="AM24" s="67">
        <f t="shared" si="6"/>
        <v>0</v>
      </c>
      <c r="AN24" s="68">
        <f t="shared" ref="AN24:AN26" si="77">TRUNC(AL24*$I24,2)</f>
        <v>0</v>
      </c>
      <c r="AP24" s="115"/>
      <c r="AQ24" s="67">
        <f t="shared" si="7"/>
        <v>0</v>
      </c>
      <c r="AR24" s="68">
        <f t="shared" ref="AR24:AR26" si="78">TRUNC(AP24*$I24,2)</f>
        <v>0</v>
      </c>
      <c r="AS24" s="115"/>
      <c r="AT24" s="67">
        <f t="shared" si="8"/>
        <v>0</v>
      </c>
      <c r="AU24" s="68">
        <f t="shared" ref="AU24:AU26" si="79">TRUNC(AS24*$I24,2)</f>
        <v>0</v>
      </c>
      <c r="AW24" s="115"/>
      <c r="AX24" s="67">
        <f t="shared" si="9"/>
        <v>0</v>
      </c>
      <c r="AY24" s="68">
        <f t="shared" ref="AY24:AY26" si="80">TRUNC(AW24*$I24,2)</f>
        <v>0</v>
      </c>
      <c r="AZ24" s="115"/>
      <c r="BA24" s="67">
        <f t="shared" si="10"/>
        <v>0</v>
      </c>
      <c r="BB24" s="68">
        <f t="shared" ref="BB24:BB26" si="81">TRUNC(AZ24*$I24,2)</f>
        <v>0</v>
      </c>
      <c r="BD24" s="115">
        <f t="shared" ref="BD24:BD26" si="82">SUM(Q24,X24,AE24,AL24,AS24,AZ24)</f>
        <v>0</v>
      </c>
      <c r="BE24" s="67">
        <f t="shared" si="11"/>
        <v>0</v>
      </c>
      <c r="BF24" s="68">
        <f t="shared" ref="BF24:BF26" si="83">TRUNC(BD24*$I24,2)</f>
        <v>0</v>
      </c>
      <c r="BG24" s="133">
        <f t="shared" ref="BG24:BG26" si="84">$F24-BD24</f>
        <v>152.86000000000001</v>
      </c>
      <c r="BH24" s="67">
        <f t="shared" si="12"/>
        <v>3.77098782667093E-3</v>
      </c>
      <c r="BI24" s="68">
        <f t="shared" ref="BI24:BI26" si="85">TRUNC(BG24*$I24,2)</f>
        <v>12127.91</v>
      </c>
      <c r="BJ24" s="117"/>
      <c r="BL24" s="92"/>
    </row>
    <row r="25" spans="1:64" ht="38.25" x14ac:dyDescent="0.25">
      <c r="A25" s="100" t="str">
        <f>'01 - Orçamento Sintético'!A25</f>
        <v xml:space="preserve"> 2.1.3.2 </v>
      </c>
      <c r="B25" s="101" t="str">
        <f>'01 - Orçamento Sintético'!B25</f>
        <v xml:space="preserve"> 29 </v>
      </c>
      <c r="C25" s="100" t="str">
        <f>'01 - Orçamento Sintético'!C25</f>
        <v>ORSE</v>
      </c>
      <c r="D25" s="100" t="str">
        <f>'01 - Orçamento Sintético'!D25</f>
        <v>Remoção de pintura à óleo ou esmalte -  Rev 01</v>
      </c>
      <c r="E25" s="94" t="str">
        <f>'01 - Orçamento Sintético'!E25</f>
        <v>m²</v>
      </c>
      <c r="F25" s="94">
        <f>'01 - Orçamento Sintético'!F25</f>
        <v>411.4</v>
      </c>
      <c r="G25" s="68">
        <f>INDEX('01 - Orçamento Sintético'!$A$6:$AB$125,MATCH('02 - Planilha de Medição'!$A25,'01 - Orçamento Sintético'!$A$6:$A$125,0),23)</f>
        <v>11.75</v>
      </c>
      <c r="H25" s="68">
        <f>INDEX('01 - Orçamento Sintético'!$A$6:$AB$125,MATCH('02 - Planilha de Medição'!$A25,'01 - Orçamento Sintético'!$A$6:$A$125,0),24)</f>
        <v>8.7800000000000011</v>
      </c>
      <c r="I25" s="68">
        <f>INDEX('01 - Orçamento Sintético'!$A$6:$AB$125,MATCH('02 - Planilha de Medição'!$A25,'01 - Orçamento Sintético'!$A$6:$A$125,0),25)</f>
        <v>20.53</v>
      </c>
      <c r="J25" s="68">
        <f>INDEX('01 - Orçamento Sintético'!$A$6:$AB$125,MATCH('02 - Planilha de Medição'!$A25,'01 - Orçamento Sintético'!$A$6:$A$125,0),26)</f>
        <v>4833.95</v>
      </c>
      <c r="K25" s="68">
        <f>INDEX('01 - Orçamento Sintético'!$A$6:$AB$125,MATCH('02 - Planilha de Medição'!$A25,'01 - Orçamento Sintético'!$A$6:$A$125,0),27)</f>
        <v>3612.0900000000011</v>
      </c>
      <c r="L25" s="68">
        <f>INDEX('01 - Orçamento Sintético'!$A$6:$AB$125,MATCH('02 - Planilha de Medição'!$A25,'01 - Orçamento Sintético'!$A$6:$A$125,0),28)</f>
        <v>8446.0400000000009</v>
      </c>
      <c r="N25" s="115"/>
      <c r="O25" s="67">
        <f t="shared" si="14"/>
        <v>0</v>
      </c>
      <c r="P25" s="68">
        <f t="shared" si="70"/>
        <v>0</v>
      </c>
      <c r="Q25" s="115"/>
      <c r="R25" s="67">
        <f t="shared" si="0"/>
        <v>0</v>
      </c>
      <c r="S25" s="68">
        <f t="shared" si="71"/>
        <v>0</v>
      </c>
      <c r="U25" s="115">
        <f t="shared" ref="U25:U26" si="86">F25</f>
        <v>411.4</v>
      </c>
      <c r="V25" s="67">
        <f t="shared" si="1"/>
        <v>2.626166752851542E-3</v>
      </c>
      <c r="W25" s="68">
        <f t="shared" si="72"/>
        <v>8446.0400000000009</v>
      </c>
      <c r="X25" s="115"/>
      <c r="Y25" s="67">
        <f t="shared" si="2"/>
        <v>0</v>
      </c>
      <c r="Z25" s="68">
        <f t="shared" si="73"/>
        <v>0</v>
      </c>
      <c r="AB25" s="115"/>
      <c r="AC25" s="67">
        <f t="shared" si="3"/>
        <v>0</v>
      </c>
      <c r="AD25" s="68">
        <f t="shared" si="74"/>
        <v>0</v>
      </c>
      <c r="AE25" s="115"/>
      <c r="AF25" s="67">
        <f t="shared" si="4"/>
        <v>0</v>
      </c>
      <c r="AG25" s="68">
        <f t="shared" si="75"/>
        <v>0</v>
      </c>
      <c r="AI25" s="115"/>
      <c r="AJ25" s="67">
        <f t="shared" si="5"/>
        <v>0</v>
      </c>
      <c r="AK25" s="68">
        <f t="shared" si="76"/>
        <v>0</v>
      </c>
      <c r="AL25" s="115"/>
      <c r="AM25" s="67">
        <f t="shared" si="6"/>
        <v>0</v>
      </c>
      <c r="AN25" s="68">
        <f t="shared" si="77"/>
        <v>0</v>
      </c>
      <c r="AP25" s="115"/>
      <c r="AQ25" s="67">
        <f t="shared" si="7"/>
        <v>0</v>
      </c>
      <c r="AR25" s="68">
        <f t="shared" si="78"/>
        <v>0</v>
      </c>
      <c r="AS25" s="115"/>
      <c r="AT25" s="67">
        <f t="shared" si="8"/>
        <v>0</v>
      </c>
      <c r="AU25" s="68">
        <f t="shared" si="79"/>
        <v>0</v>
      </c>
      <c r="AW25" s="115"/>
      <c r="AX25" s="67">
        <f t="shared" si="9"/>
        <v>0</v>
      </c>
      <c r="AY25" s="68">
        <f t="shared" si="80"/>
        <v>0</v>
      </c>
      <c r="AZ25" s="115"/>
      <c r="BA25" s="67">
        <f t="shared" si="10"/>
        <v>0</v>
      </c>
      <c r="BB25" s="68">
        <f t="shared" si="81"/>
        <v>0</v>
      </c>
      <c r="BD25" s="115">
        <f t="shared" si="82"/>
        <v>0</v>
      </c>
      <c r="BE25" s="67">
        <f t="shared" si="11"/>
        <v>0</v>
      </c>
      <c r="BF25" s="68">
        <f t="shared" si="83"/>
        <v>0</v>
      </c>
      <c r="BG25" s="133">
        <f t="shared" si="84"/>
        <v>411.4</v>
      </c>
      <c r="BH25" s="67">
        <f t="shared" si="12"/>
        <v>2.626166752851542E-3</v>
      </c>
      <c r="BI25" s="68">
        <f t="shared" si="85"/>
        <v>8446.0400000000009</v>
      </c>
      <c r="BJ25" s="117"/>
      <c r="BL25" s="92"/>
    </row>
    <row r="26" spans="1:64" ht="25.5" x14ac:dyDescent="0.25">
      <c r="A26" s="100" t="str">
        <f>'01 - Orçamento Sintético'!A26</f>
        <v xml:space="preserve"> 2.1.3.3 </v>
      </c>
      <c r="B26" s="101" t="str">
        <f>'01 - Orçamento Sintético'!B26</f>
        <v xml:space="preserve"> 022749 </v>
      </c>
      <c r="C26" s="100" t="str">
        <f>'01 - Orçamento Sintético'!C26</f>
        <v>SBC</v>
      </c>
      <c r="D26" s="100" t="str">
        <f>'01 - Orçamento Sintético'!D26</f>
        <v>RETIRADA CORRIMAO METALICO</v>
      </c>
      <c r="E26" s="94" t="str">
        <f>'01 - Orçamento Sintético'!E26</f>
        <v>M</v>
      </c>
      <c r="F26" s="94">
        <f>'01 - Orçamento Sintético'!F26</f>
        <v>41.95</v>
      </c>
      <c r="G26" s="68">
        <f>INDEX('01 - Orçamento Sintético'!$A$6:$AB$125,MATCH('02 - Planilha de Medição'!$A26,'01 - Orçamento Sintético'!$A$6:$A$125,0),23)</f>
        <v>6.06</v>
      </c>
      <c r="H26" s="68">
        <f>INDEX('01 - Orçamento Sintético'!$A$6:$AB$125,MATCH('02 - Planilha de Medição'!$A26,'01 - Orçamento Sintético'!$A$6:$A$125,0),24)</f>
        <v>2.8500000000000005</v>
      </c>
      <c r="I26" s="68">
        <f>INDEX('01 - Orçamento Sintético'!$A$6:$AB$125,MATCH('02 - Planilha de Medição'!$A26,'01 - Orçamento Sintético'!$A$6:$A$125,0),25)</f>
        <v>8.91</v>
      </c>
      <c r="J26" s="68">
        <f>INDEX('01 - Orçamento Sintético'!$A$6:$AB$125,MATCH('02 - Planilha de Medição'!$A26,'01 - Orçamento Sintético'!$A$6:$A$125,0),26)</f>
        <v>254.21</v>
      </c>
      <c r="K26" s="68">
        <f>INDEX('01 - Orçamento Sintético'!$A$6:$AB$125,MATCH('02 - Planilha de Medição'!$A26,'01 - Orçamento Sintético'!$A$6:$A$125,0),27)</f>
        <v>119.55999999999997</v>
      </c>
      <c r="L26" s="68">
        <f>INDEX('01 - Orçamento Sintético'!$A$6:$AB$125,MATCH('02 - Planilha de Medição'!$A26,'01 - Orçamento Sintético'!$A$6:$A$125,0),28)</f>
        <v>373.77</v>
      </c>
      <c r="N26" s="115"/>
      <c r="O26" s="67">
        <f t="shared" si="14"/>
        <v>0</v>
      </c>
      <c r="P26" s="68">
        <f t="shared" si="70"/>
        <v>0</v>
      </c>
      <c r="Q26" s="115"/>
      <c r="R26" s="67">
        <f t="shared" si="0"/>
        <v>0</v>
      </c>
      <c r="S26" s="68">
        <f t="shared" si="71"/>
        <v>0</v>
      </c>
      <c r="U26" s="115">
        <f t="shared" si="86"/>
        <v>41.95</v>
      </c>
      <c r="V26" s="67">
        <f t="shared" si="1"/>
        <v>1.1621805570578884E-4</v>
      </c>
      <c r="W26" s="68">
        <f t="shared" si="72"/>
        <v>373.77</v>
      </c>
      <c r="X26" s="115"/>
      <c r="Y26" s="67">
        <f t="shared" si="2"/>
        <v>0</v>
      </c>
      <c r="Z26" s="68">
        <f t="shared" si="73"/>
        <v>0</v>
      </c>
      <c r="AB26" s="115"/>
      <c r="AC26" s="67">
        <f t="shared" si="3"/>
        <v>0</v>
      </c>
      <c r="AD26" s="68">
        <f t="shared" si="74"/>
        <v>0</v>
      </c>
      <c r="AE26" s="115"/>
      <c r="AF26" s="67">
        <f t="shared" si="4"/>
        <v>0</v>
      </c>
      <c r="AG26" s="68">
        <f t="shared" si="75"/>
        <v>0</v>
      </c>
      <c r="AI26" s="115"/>
      <c r="AJ26" s="67">
        <f t="shared" si="5"/>
        <v>0</v>
      </c>
      <c r="AK26" s="68">
        <f t="shared" si="76"/>
        <v>0</v>
      </c>
      <c r="AL26" s="115"/>
      <c r="AM26" s="67">
        <f t="shared" si="6"/>
        <v>0</v>
      </c>
      <c r="AN26" s="68">
        <f t="shared" si="77"/>
        <v>0</v>
      </c>
      <c r="AP26" s="115"/>
      <c r="AQ26" s="67">
        <f t="shared" si="7"/>
        <v>0</v>
      </c>
      <c r="AR26" s="68">
        <f t="shared" si="78"/>
        <v>0</v>
      </c>
      <c r="AS26" s="115"/>
      <c r="AT26" s="67">
        <f t="shared" si="8"/>
        <v>0</v>
      </c>
      <c r="AU26" s="68">
        <f t="shared" si="79"/>
        <v>0</v>
      </c>
      <c r="AW26" s="115"/>
      <c r="AX26" s="67">
        <f t="shared" si="9"/>
        <v>0</v>
      </c>
      <c r="AY26" s="68">
        <f t="shared" si="80"/>
        <v>0</v>
      </c>
      <c r="AZ26" s="115"/>
      <c r="BA26" s="67">
        <f t="shared" si="10"/>
        <v>0</v>
      </c>
      <c r="BB26" s="68">
        <f t="shared" si="81"/>
        <v>0</v>
      </c>
      <c r="BD26" s="115">
        <f t="shared" si="82"/>
        <v>0</v>
      </c>
      <c r="BE26" s="67">
        <f t="shared" si="11"/>
        <v>0</v>
      </c>
      <c r="BF26" s="68">
        <f t="shared" si="83"/>
        <v>0</v>
      </c>
      <c r="BG26" s="133">
        <f t="shared" si="84"/>
        <v>41.95</v>
      </c>
      <c r="BH26" s="67">
        <f t="shared" si="12"/>
        <v>1.1621805570578884E-4</v>
      </c>
      <c r="BI26" s="68">
        <f t="shared" si="85"/>
        <v>373.77</v>
      </c>
      <c r="BJ26" s="117"/>
      <c r="BL26" s="92"/>
    </row>
    <row r="27" spans="1:64" ht="25.5" x14ac:dyDescent="0.25">
      <c r="A27" s="99" t="str">
        <f>'01 - Orçamento Sintético'!A27</f>
        <v xml:space="preserve"> 2.1.4 </v>
      </c>
      <c r="B27" s="99"/>
      <c r="C27" s="99"/>
      <c r="D27" s="99" t="str">
        <f>'01 - Orçamento Sintético'!D27</f>
        <v>Banheiros para acessibilidade</v>
      </c>
      <c r="E27" s="99"/>
      <c r="F27" s="93"/>
      <c r="G27" s="69"/>
      <c r="H27" s="69"/>
      <c r="I27" s="69"/>
      <c r="J27" s="69"/>
      <c r="K27" s="69"/>
      <c r="L27" s="70">
        <f>INDEX('01 - Orçamento Sintético'!$A$6:$AB$125,MATCH('02 - Planilha de Medição'!$A27,'01 - Orçamento Sintético'!$A$6:$A$125,0),28)</f>
        <v>723.1400000000001</v>
      </c>
      <c r="N27" s="116"/>
      <c r="O27" s="120">
        <f t="shared" si="14"/>
        <v>0</v>
      </c>
      <c r="P27" s="70">
        <f>SUM(P28:P31)</f>
        <v>0</v>
      </c>
      <c r="Q27" s="116"/>
      <c r="R27" s="120">
        <f t="shared" si="0"/>
        <v>0</v>
      </c>
      <c r="S27" s="70">
        <f>SUM(S28:S31)</f>
        <v>0</v>
      </c>
      <c r="U27" s="116"/>
      <c r="V27" s="120">
        <f t="shared" si="1"/>
        <v>2.2484930519593374E-4</v>
      </c>
      <c r="W27" s="70">
        <f>SUM(W28:W31)</f>
        <v>723.1400000000001</v>
      </c>
      <c r="X27" s="116"/>
      <c r="Y27" s="120">
        <f t="shared" si="2"/>
        <v>0</v>
      </c>
      <c r="Z27" s="70">
        <f>SUM(Z28:Z31)</f>
        <v>0</v>
      </c>
      <c r="AB27" s="116"/>
      <c r="AC27" s="120">
        <f t="shared" si="3"/>
        <v>0</v>
      </c>
      <c r="AD27" s="70">
        <f>SUM(AD28:AD31)</f>
        <v>0</v>
      </c>
      <c r="AE27" s="116"/>
      <c r="AF27" s="120">
        <f t="shared" si="4"/>
        <v>0</v>
      </c>
      <c r="AG27" s="70">
        <f>SUM(AG28:AG31)</f>
        <v>0</v>
      </c>
      <c r="AI27" s="116"/>
      <c r="AJ27" s="120">
        <f t="shared" si="5"/>
        <v>0</v>
      </c>
      <c r="AK27" s="70">
        <f>SUM(AK28:AK31)</f>
        <v>0</v>
      </c>
      <c r="AL27" s="116"/>
      <c r="AM27" s="120">
        <f t="shared" si="6"/>
        <v>0</v>
      </c>
      <c r="AN27" s="70">
        <f>SUM(AN28:AN31)</f>
        <v>0</v>
      </c>
      <c r="AP27" s="116"/>
      <c r="AQ27" s="120">
        <f t="shared" si="7"/>
        <v>0</v>
      </c>
      <c r="AR27" s="70">
        <f>SUM(AR28:AR31)</f>
        <v>0</v>
      </c>
      <c r="AS27" s="116"/>
      <c r="AT27" s="120">
        <f t="shared" si="8"/>
        <v>0</v>
      </c>
      <c r="AU27" s="70">
        <f>SUM(AU28:AU31)</f>
        <v>0</v>
      </c>
      <c r="AW27" s="116"/>
      <c r="AX27" s="120">
        <f t="shared" si="9"/>
        <v>0</v>
      </c>
      <c r="AY27" s="70">
        <f>SUM(AY28:AY31)</f>
        <v>0</v>
      </c>
      <c r="AZ27" s="116"/>
      <c r="BA27" s="120">
        <f t="shared" si="10"/>
        <v>0</v>
      </c>
      <c r="BB27" s="70">
        <f>SUM(BB28:BB31)</f>
        <v>0</v>
      </c>
      <c r="BD27" s="116"/>
      <c r="BE27" s="120">
        <f t="shared" si="11"/>
        <v>0</v>
      </c>
      <c r="BF27" s="70">
        <f>SUM(BF28:BF31)</f>
        <v>0</v>
      </c>
      <c r="BG27" s="134"/>
      <c r="BH27" s="120">
        <f t="shared" si="12"/>
        <v>2.2484930519593374E-4</v>
      </c>
      <c r="BI27" s="70">
        <f>SUM(BI28:BI31)</f>
        <v>723.1400000000001</v>
      </c>
      <c r="BJ27" s="117"/>
      <c r="BL27" s="92"/>
    </row>
    <row r="28" spans="1:64" ht="25.5" x14ac:dyDescent="0.25">
      <c r="A28" s="100" t="str">
        <f>'01 - Orçamento Sintético'!A28</f>
        <v xml:space="preserve"> 2.1.4.1 </v>
      </c>
      <c r="B28" s="101" t="str">
        <f>'01 - Orçamento Sintético'!B28</f>
        <v xml:space="preserve"> 3254 </v>
      </c>
      <c r="C28" s="100" t="str">
        <f>'01 - Orçamento Sintético'!C28</f>
        <v>ORSE</v>
      </c>
      <c r="D28" s="100" t="str">
        <f>'01 - Orçamento Sintético'!D28</f>
        <v>Remoção de válvula de descarga</v>
      </c>
      <c r="E28" s="94" t="str">
        <f>'01 - Orçamento Sintético'!E28</f>
        <v>un</v>
      </c>
      <c r="F28" s="94">
        <f>'01 - Orçamento Sintético'!F28</f>
        <v>2</v>
      </c>
      <c r="G28" s="68">
        <f>INDEX('01 - Orçamento Sintético'!$A$6:$AB$125,MATCH('02 - Planilha de Medição'!$A28,'01 - Orçamento Sintético'!$A$6:$A$125,0),23)</f>
        <v>164.42</v>
      </c>
      <c r="H28" s="68">
        <f>INDEX('01 - Orçamento Sintético'!$A$6:$AB$125,MATCH('02 - Planilha de Medição'!$A28,'01 - Orçamento Sintético'!$A$6:$A$125,0),24)</f>
        <v>62.260000000000019</v>
      </c>
      <c r="I28" s="68">
        <f>INDEX('01 - Orçamento Sintético'!$A$6:$AB$125,MATCH('02 - Planilha de Medição'!$A28,'01 - Orçamento Sintético'!$A$6:$A$125,0),25)</f>
        <v>226.68</v>
      </c>
      <c r="J28" s="68">
        <f>INDEX('01 - Orçamento Sintético'!$A$6:$AB$125,MATCH('02 - Planilha de Medição'!$A28,'01 - Orçamento Sintético'!$A$6:$A$125,0),26)</f>
        <v>328.84</v>
      </c>
      <c r="K28" s="68">
        <f>INDEX('01 - Orçamento Sintético'!$A$6:$AB$125,MATCH('02 - Planilha de Medição'!$A28,'01 - Orçamento Sintético'!$A$6:$A$125,0),27)</f>
        <v>124.52000000000004</v>
      </c>
      <c r="L28" s="68">
        <f>INDEX('01 - Orçamento Sintético'!$A$6:$AB$125,MATCH('02 - Planilha de Medição'!$A28,'01 - Orçamento Sintético'!$A$6:$A$125,0),28)</f>
        <v>453.36</v>
      </c>
      <c r="N28" s="115"/>
      <c r="O28" s="67">
        <f t="shared" si="14"/>
        <v>0</v>
      </c>
      <c r="P28" s="68">
        <f t="shared" ref="P28:P31" si="87">TRUNC(N28*$I28,2)</f>
        <v>0</v>
      </c>
      <c r="Q28" s="115"/>
      <c r="R28" s="67">
        <f t="shared" si="0"/>
        <v>0</v>
      </c>
      <c r="S28" s="68">
        <f t="shared" ref="S28:S31" si="88">TRUNC(Q28*$I28,2)</f>
        <v>0</v>
      </c>
      <c r="U28" s="115">
        <f>F28</f>
        <v>2</v>
      </c>
      <c r="V28" s="67">
        <f t="shared" si="1"/>
        <v>1.4096534696411277E-4</v>
      </c>
      <c r="W28" s="68">
        <f t="shared" ref="W28:W31" si="89">TRUNC(U28*$I28,2)</f>
        <v>453.36</v>
      </c>
      <c r="X28" s="115"/>
      <c r="Y28" s="67">
        <f t="shared" si="2"/>
        <v>0</v>
      </c>
      <c r="Z28" s="68">
        <f t="shared" ref="Z28:Z31" si="90">TRUNC(X28*$I28,2)</f>
        <v>0</v>
      </c>
      <c r="AB28" s="115"/>
      <c r="AC28" s="67">
        <f t="shared" si="3"/>
        <v>0</v>
      </c>
      <c r="AD28" s="68">
        <f t="shared" ref="AD28:AD31" si="91">TRUNC(AB28*$I28,2)</f>
        <v>0</v>
      </c>
      <c r="AE28" s="115"/>
      <c r="AF28" s="67">
        <f t="shared" si="4"/>
        <v>0</v>
      </c>
      <c r="AG28" s="68">
        <f t="shared" ref="AG28:AG31" si="92">TRUNC(AE28*$I28,2)</f>
        <v>0</v>
      </c>
      <c r="AI28" s="115"/>
      <c r="AJ28" s="67">
        <f t="shared" si="5"/>
        <v>0</v>
      </c>
      <c r="AK28" s="68">
        <f t="shared" ref="AK28:AK31" si="93">TRUNC(AI28*$I28,2)</f>
        <v>0</v>
      </c>
      <c r="AL28" s="115"/>
      <c r="AM28" s="67">
        <f t="shared" si="6"/>
        <v>0</v>
      </c>
      <c r="AN28" s="68">
        <f t="shared" ref="AN28:AN31" si="94">TRUNC(AL28*$I28,2)</f>
        <v>0</v>
      </c>
      <c r="AP28" s="115"/>
      <c r="AQ28" s="67">
        <f t="shared" si="7"/>
        <v>0</v>
      </c>
      <c r="AR28" s="68">
        <f t="shared" ref="AR28:AR31" si="95">TRUNC(AP28*$I28,2)</f>
        <v>0</v>
      </c>
      <c r="AS28" s="115"/>
      <c r="AT28" s="67">
        <f t="shared" si="8"/>
        <v>0</v>
      </c>
      <c r="AU28" s="68">
        <f t="shared" ref="AU28:AU31" si="96">TRUNC(AS28*$I28,2)</f>
        <v>0</v>
      </c>
      <c r="AW28" s="115"/>
      <c r="AX28" s="67">
        <f t="shared" si="9"/>
        <v>0</v>
      </c>
      <c r="AY28" s="68">
        <f t="shared" ref="AY28:AY31" si="97">TRUNC(AW28*$I28,2)</f>
        <v>0</v>
      </c>
      <c r="AZ28" s="115"/>
      <c r="BA28" s="67">
        <f t="shared" si="10"/>
        <v>0</v>
      </c>
      <c r="BB28" s="68">
        <f t="shared" ref="BB28:BB31" si="98">TRUNC(AZ28*$I28,2)</f>
        <v>0</v>
      </c>
      <c r="BD28" s="115">
        <f t="shared" ref="BD28:BD31" si="99">SUM(Q28,X28,AE28,AL28,AS28,AZ28)</f>
        <v>0</v>
      </c>
      <c r="BE28" s="67">
        <f t="shared" si="11"/>
        <v>0</v>
      </c>
      <c r="BF28" s="68">
        <f t="shared" ref="BF28:BF31" si="100">TRUNC(BD28*$I28,2)</f>
        <v>0</v>
      </c>
      <c r="BG28" s="133">
        <f t="shared" ref="BG28:BG31" si="101">$F28-BD28</f>
        <v>2</v>
      </c>
      <c r="BH28" s="67">
        <f t="shared" si="12"/>
        <v>1.4096534696411277E-4</v>
      </c>
      <c r="BI28" s="68">
        <f t="shared" ref="BI28:BI31" si="102">TRUNC(BG28*$I28,2)</f>
        <v>453.36</v>
      </c>
      <c r="BJ28" s="117"/>
      <c r="BL28" s="92"/>
    </row>
    <row r="29" spans="1:64" ht="25.5" x14ac:dyDescent="0.25">
      <c r="A29" s="100" t="str">
        <f>'01 - Orçamento Sintético'!A29</f>
        <v xml:space="preserve"> 2.1.4.2 </v>
      </c>
      <c r="B29" s="101" t="str">
        <f>'01 - Orçamento Sintético'!B29</f>
        <v xml:space="preserve"> 022736 </v>
      </c>
      <c r="C29" s="100" t="str">
        <f>'01 - Orçamento Sintético'!C29</f>
        <v>SBC</v>
      </c>
      <c r="D29" s="100" t="str">
        <f>'01 - Orçamento Sintético'!D29</f>
        <v>RETIRADA CUIDADOSA LOUCA SANITARIA</v>
      </c>
      <c r="E29" s="94" t="str">
        <f>'01 - Orçamento Sintético'!E29</f>
        <v>UN</v>
      </c>
      <c r="F29" s="94">
        <f>'01 - Orçamento Sintético'!F29</f>
        <v>4</v>
      </c>
      <c r="G29" s="68">
        <f>INDEX('01 - Orçamento Sintético'!$A$6:$AB$125,MATCH('02 - Planilha de Medição'!$A29,'01 - Orçamento Sintético'!$A$6:$A$125,0),23)</f>
        <v>24.3</v>
      </c>
      <c r="H29" s="68">
        <f>INDEX('01 - Orçamento Sintético'!$A$6:$AB$125,MATCH('02 - Planilha de Medição'!$A29,'01 - Orçamento Sintético'!$A$6:$A$125,0),24)</f>
        <v>9.9000000000000021</v>
      </c>
      <c r="I29" s="68">
        <f>INDEX('01 - Orçamento Sintético'!$A$6:$AB$125,MATCH('02 - Planilha de Medição'!$A29,'01 - Orçamento Sintético'!$A$6:$A$125,0),25)</f>
        <v>34.200000000000003</v>
      </c>
      <c r="J29" s="68">
        <f>INDEX('01 - Orçamento Sintético'!$A$6:$AB$125,MATCH('02 - Planilha de Medição'!$A29,'01 - Orçamento Sintético'!$A$6:$A$125,0),26)</f>
        <v>97.2</v>
      </c>
      <c r="K29" s="68">
        <f>INDEX('01 - Orçamento Sintético'!$A$6:$AB$125,MATCH('02 - Planilha de Medição'!$A29,'01 - Orçamento Sintético'!$A$6:$A$125,0),27)</f>
        <v>39.600000000000009</v>
      </c>
      <c r="L29" s="68">
        <f>INDEX('01 - Orçamento Sintético'!$A$6:$AB$125,MATCH('02 - Planilha de Medição'!$A29,'01 - Orçamento Sintético'!$A$6:$A$125,0),28)</f>
        <v>136.80000000000001</v>
      </c>
      <c r="N29" s="115"/>
      <c r="O29" s="67">
        <f t="shared" si="14"/>
        <v>0</v>
      </c>
      <c r="P29" s="68">
        <f t="shared" si="87"/>
        <v>0</v>
      </c>
      <c r="Q29" s="115"/>
      <c r="R29" s="67">
        <f t="shared" si="0"/>
        <v>0</v>
      </c>
      <c r="S29" s="68">
        <f t="shared" si="88"/>
        <v>0</v>
      </c>
      <c r="U29" s="115">
        <f t="shared" ref="U29:U31" si="103">F29</f>
        <v>4</v>
      </c>
      <c r="V29" s="67">
        <f t="shared" si="1"/>
        <v>4.2535864356561293E-5</v>
      </c>
      <c r="W29" s="68">
        <f t="shared" si="89"/>
        <v>136.80000000000001</v>
      </c>
      <c r="X29" s="115"/>
      <c r="Y29" s="67">
        <f t="shared" si="2"/>
        <v>0</v>
      </c>
      <c r="Z29" s="68">
        <f t="shared" si="90"/>
        <v>0</v>
      </c>
      <c r="AB29" s="115"/>
      <c r="AC29" s="67">
        <f t="shared" si="3"/>
        <v>0</v>
      </c>
      <c r="AD29" s="68">
        <f t="shared" si="91"/>
        <v>0</v>
      </c>
      <c r="AE29" s="115"/>
      <c r="AF29" s="67">
        <f t="shared" si="4"/>
        <v>0</v>
      </c>
      <c r="AG29" s="68">
        <f t="shared" si="92"/>
        <v>0</v>
      </c>
      <c r="AI29" s="115"/>
      <c r="AJ29" s="67">
        <f t="shared" si="5"/>
        <v>0</v>
      </c>
      <c r="AK29" s="68">
        <f t="shared" si="93"/>
        <v>0</v>
      </c>
      <c r="AL29" s="115"/>
      <c r="AM29" s="67">
        <f t="shared" si="6"/>
        <v>0</v>
      </c>
      <c r="AN29" s="68">
        <f t="shared" si="94"/>
        <v>0</v>
      </c>
      <c r="AP29" s="115"/>
      <c r="AQ29" s="67">
        <f t="shared" si="7"/>
        <v>0</v>
      </c>
      <c r="AR29" s="68">
        <f t="shared" si="95"/>
        <v>0</v>
      </c>
      <c r="AS29" s="115"/>
      <c r="AT29" s="67">
        <f t="shared" si="8"/>
        <v>0</v>
      </c>
      <c r="AU29" s="68">
        <f t="shared" si="96"/>
        <v>0</v>
      </c>
      <c r="AW29" s="115"/>
      <c r="AX29" s="67">
        <f t="shared" si="9"/>
        <v>0</v>
      </c>
      <c r="AY29" s="68">
        <f t="shared" si="97"/>
        <v>0</v>
      </c>
      <c r="AZ29" s="115"/>
      <c r="BA29" s="67">
        <f t="shared" si="10"/>
        <v>0</v>
      </c>
      <c r="BB29" s="68">
        <f t="shared" si="98"/>
        <v>0</v>
      </c>
      <c r="BD29" s="115">
        <f t="shared" si="99"/>
        <v>0</v>
      </c>
      <c r="BE29" s="67">
        <f t="shared" si="11"/>
        <v>0</v>
      </c>
      <c r="BF29" s="68">
        <f t="shared" si="100"/>
        <v>0</v>
      </c>
      <c r="BG29" s="133">
        <f t="shared" si="101"/>
        <v>4</v>
      </c>
      <c r="BH29" s="67">
        <f t="shared" si="12"/>
        <v>4.2535864356561293E-5</v>
      </c>
      <c r="BI29" s="68">
        <f t="shared" si="102"/>
        <v>136.80000000000001</v>
      </c>
      <c r="BJ29" s="117"/>
      <c r="BL29" s="92"/>
    </row>
    <row r="30" spans="1:64" ht="63.75" x14ac:dyDescent="0.25">
      <c r="A30" s="100" t="str">
        <f>'01 - Orçamento Sintético'!A30</f>
        <v xml:space="preserve"> 2.1.4.3 </v>
      </c>
      <c r="B30" s="101" t="str">
        <f>'01 - Orçamento Sintético'!B30</f>
        <v xml:space="preserve"> 97666 </v>
      </c>
      <c r="C30" s="100" t="str">
        <f>'01 - Orçamento Sintético'!C30</f>
        <v>SINAPI</v>
      </c>
      <c r="D30" s="100" t="str">
        <f>'01 - Orçamento Sintético'!D30</f>
        <v>REMOÇÃO DE METAIS SANITÁRIOS, DE FORMA MANUAL, SEM REAPROVEITAMENTO. AF_09/2023</v>
      </c>
      <c r="E30" s="94" t="str">
        <f>'01 - Orçamento Sintético'!E30</f>
        <v>UN</v>
      </c>
      <c r="F30" s="94">
        <f>'01 - Orçamento Sintético'!F30</f>
        <v>4</v>
      </c>
      <c r="G30" s="68">
        <f>INDEX('01 - Orçamento Sintético'!$A$6:$AB$125,MATCH('02 - Planilha de Medição'!$A30,'01 - Orçamento Sintético'!$A$6:$A$125,0),23)</f>
        <v>10.5</v>
      </c>
      <c r="H30" s="68">
        <f>INDEX('01 - Orçamento Sintético'!$A$6:$AB$125,MATCH('02 - Planilha de Medição'!$A30,'01 - Orçamento Sintético'!$A$6:$A$125,0),24)</f>
        <v>4.41</v>
      </c>
      <c r="I30" s="68">
        <f>INDEX('01 - Orçamento Sintético'!$A$6:$AB$125,MATCH('02 - Planilha de Medição'!$A30,'01 - Orçamento Sintético'!$A$6:$A$125,0),25)</f>
        <v>14.91</v>
      </c>
      <c r="J30" s="68">
        <f>INDEX('01 - Orçamento Sintético'!$A$6:$AB$125,MATCH('02 - Planilha de Medição'!$A30,'01 - Orçamento Sintético'!$A$6:$A$125,0),26)</f>
        <v>42</v>
      </c>
      <c r="K30" s="68">
        <f>INDEX('01 - Orçamento Sintético'!$A$6:$AB$125,MATCH('02 - Planilha de Medição'!$A30,'01 - Orçamento Sintético'!$A$6:$A$125,0),27)</f>
        <v>17.64</v>
      </c>
      <c r="L30" s="68">
        <f>INDEX('01 - Orçamento Sintético'!$A$6:$AB$125,MATCH('02 - Planilha de Medição'!$A30,'01 - Orçamento Sintético'!$A$6:$A$125,0),28)</f>
        <v>59.64</v>
      </c>
      <c r="N30" s="115"/>
      <c r="O30" s="67">
        <f t="shared" si="14"/>
        <v>0</v>
      </c>
      <c r="P30" s="68">
        <f t="shared" si="87"/>
        <v>0</v>
      </c>
      <c r="Q30" s="115"/>
      <c r="R30" s="67">
        <f t="shared" si="0"/>
        <v>0</v>
      </c>
      <c r="S30" s="68">
        <f t="shared" si="88"/>
        <v>0</v>
      </c>
      <c r="U30" s="115">
        <f t="shared" si="103"/>
        <v>4</v>
      </c>
      <c r="V30" s="67">
        <f t="shared" si="1"/>
        <v>1.8544144372992071E-5</v>
      </c>
      <c r="W30" s="68">
        <f t="shared" si="89"/>
        <v>59.64</v>
      </c>
      <c r="X30" s="115"/>
      <c r="Y30" s="67">
        <f t="shared" si="2"/>
        <v>0</v>
      </c>
      <c r="Z30" s="68">
        <f t="shared" si="90"/>
        <v>0</v>
      </c>
      <c r="AB30" s="115"/>
      <c r="AC30" s="67">
        <f t="shared" si="3"/>
        <v>0</v>
      </c>
      <c r="AD30" s="68">
        <f t="shared" si="91"/>
        <v>0</v>
      </c>
      <c r="AE30" s="115"/>
      <c r="AF30" s="67">
        <f t="shared" si="4"/>
        <v>0</v>
      </c>
      <c r="AG30" s="68">
        <f t="shared" si="92"/>
        <v>0</v>
      </c>
      <c r="AI30" s="115"/>
      <c r="AJ30" s="67">
        <f t="shared" si="5"/>
        <v>0</v>
      </c>
      <c r="AK30" s="68">
        <f t="shared" si="93"/>
        <v>0</v>
      </c>
      <c r="AL30" s="115"/>
      <c r="AM30" s="67">
        <f t="shared" si="6"/>
        <v>0</v>
      </c>
      <c r="AN30" s="68">
        <f t="shared" si="94"/>
        <v>0</v>
      </c>
      <c r="AP30" s="115"/>
      <c r="AQ30" s="67">
        <f t="shared" si="7"/>
        <v>0</v>
      </c>
      <c r="AR30" s="68">
        <f t="shared" si="95"/>
        <v>0</v>
      </c>
      <c r="AS30" s="115"/>
      <c r="AT30" s="67">
        <f t="shared" si="8"/>
        <v>0</v>
      </c>
      <c r="AU30" s="68">
        <f t="shared" si="96"/>
        <v>0</v>
      </c>
      <c r="AW30" s="115"/>
      <c r="AX30" s="67">
        <f t="shared" si="9"/>
        <v>0</v>
      </c>
      <c r="AY30" s="68">
        <f t="shared" si="97"/>
        <v>0</v>
      </c>
      <c r="AZ30" s="115"/>
      <c r="BA30" s="67">
        <f t="shared" si="10"/>
        <v>0</v>
      </c>
      <c r="BB30" s="68">
        <f t="shared" si="98"/>
        <v>0</v>
      </c>
      <c r="BD30" s="115">
        <f t="shared" si="99"/>
        <v>0</v>
      </c>
      <c r="BE30" s="67">
        <f t="shared" si="11"/>
        <v>0</v>
      </c>
      <c r="BF30" s="68">
        <f t="shared" si="100"/>
        <v>0</v>
      </c>
      <c r="BG30" s="133">
        <f t="shared" si="101"/>
        <v>4</v>
      </c>
      <c r="BH30" s="67">
        <f t="shared" si="12"/>
        <v>1.8544144372992071E-5</v>
      </c>
      <c r="BI30" s="68">
        <f t="shared" si="102"/>
        <v>59.64</v>
      </c>
      <c r="BJ30" s="117"/>
      <c r="BL30" s="92"/>
    </row>
    <row r="31" spans="1:64" ht="76.5" x14ac:dyDescent="0.25">
      <c r="A31" s="100" t="str">
        <f>'01 - Orçamento Sintético'!A31</f>
        <v xml:space="preserve"> 2.1.4.4 </v>
      </c>
      <c r="B31" s="101" t="str">
        <f>'01 - Orçamento Sintético'!B31</f>
        <v xml:space="preserve"> 97622 </v>
      </c>
      <c r="C31" s="100" t="str">
        <f>'01 - Orçamento Sintético'!C31</f>
        <v>SINAPI</v>
      </c>
      <c r="D31" s="100" t="str">
        <f>'01 - Orçamento Sintético'!D31</f>
        <v>DEMOLIÇÃO DE ALVENARIA DE BLOCO FURADO, DE FORMA MANUAL, SEM REAPROVEITAMENTO. AF_09/2023</v>
      </c>
      <c r="E31" s="94" t="str">
        <f>'01 - Orçamento Sintético'!E31</f>
        <v>m³</v>
      </c>
      <c r="F31" s="94">
        <f>'01 - Orçamento Sintético'!F31</f>
        <v>0.8</v>
      </c>
      <c r="G31" s="68">
        <f>INDEX('01 - Orçamento Sintético'!$A$6:$AB$125,MATCH('02 - Planilha de Medição'!$A31,'01 - Orçamento Sintético'!$A$6:$A$125,0),23)</f>
        <v>63.42</v>
      </c>
      <c r="H31" s="68">
        <f>INDEX('01 - Orçamento Sintético'!$A$6:$AB$125,MATCH('02 - Planilha de Medição'!$A31,'01 - Orçamento Sintético'!$A$6:$A$125,0),24)</f>
        <v>28.260000000000005</v>
      </c>
      <c r="I31" s="68">
        <f>INDEX('01 - Orçamento Sintético'!$A$6:$AB$125,MATCH('02 - Planilha de Medição'!$A31,'01 - Orçamento Sintético'!$A$6:$A$125,0),25)</f>
        <v>91.68</v>
      </c>
      <c r="J31" s="68">
        <f>INDEX('01 - Orçamento Sintético'!$A$6:$AB$125,MATCH('02 - Planilha de Medição'!$A31,'01 - Orçamento Sintético'!$A$6:$A$125,0),26)</f>
        <v>50.73</v>
      </c>
      <c r="K31" s="68">
        <f>INDEX('01 - Orçamento Sintético'!$A$6:$AB$125,MATCH('02 - Planilha de Medição'!$A31,'01 - Orçamento Sintético'!$A$6:$A$125,0),27)</f>
        <v>22.610000000000007</v>
      </c>
      <c r="L31" s="68">
        <f>INDEX('01 - Orçamento Sintético'!$A$6:$AB$125,MATCH('02 - Planilha de Medição'!$A31,'01 - Orçamento Sintético'!$A$6:$A$125,0),28)</f>
        <v>73.34</v>
      </c>
      <c r="N31" s="115"/>
      <c r="O31" s="67">
        <f t="shared" si="14"/>
        <v>0</v>
      </c>
      <c r="P31" s="68">
        <f t="shared" si="87"/>
        <v>0</v>
      </c>
      <c r="Q31" s="115"/>
      <c r="R31" s="67">
        <f t="shared" si="0"/>
        <v>0</v>
      </c>
      <c r="S31" s="68">
        <f t="shared" si="88"/>
        <v>0</v>
      </c>
      <c r="U31" s="115">
        <f t="shared" si="103"/>
        <v>0.8</v>
      </c>
      <c r="V31" s="67">
        <f t="shared" si="1"/>
        <v>2.2803949502267581E-5</v>
      </c>
      <c r="W31" s="68">
        <f t="shared" si="89"/>
        <v>73.34</v>
      </c>
      <c r="X31" s="115"/>
      <c r="Y31" s="67">
        <f t="shared" si="2"/>
        <v>0</v>
      </c>
      <c r="Z31" s="68">
        <f t="shared" si="90"/>
        <v>0</v>
      </c>
      <c r="AB31" s="115"/>
      <c r="AC31" s="67">
        <f t="shared" si="3"/>
        <v>0</v>
      </c>
      <c r="AD31" s="68">
        <f t="shared" si="91"/>
        <v>0</v>
      </c>
      <c r="AE31" s="115"/>
      <c r="AF31" s="67">
        <f t="shared" si="4"/>
        <v>0</v>
      </c>
      <c r="AG31" s="68">
        <f t="shared" si="92"/>
        <v>0</v>
      </c>
      <c r="AI31" s="115"/>
      <c r="AJ31" s="67">
        <f t="shared" si="5"/>
        <v>0</v>
      </c>
      <c r="AK31" s="68">
        <f t="shared" si="93"/>
        <v>0</v>
      </c>
      <c r="AL31" s="115"/>
      <c r="AM31" s="67">
        <f t="shared" si="6"/>
        <v>0</v>
      </c>
      <c r="AN31" s="68">
        <f t="shared" si="94"/>
        <v>0</v>
      </c>
      <c r="AP31" s="115"/>
      <c r="AQ31" s="67">
        <f t="shared" si="7"/>
        <v>0</v>
      </c>
      <c r="AR31" s="68">
        <f t="shared" si="95"/>
        <v>0</v>
      </c>
      <c r="AS31" s="115"/>
      <c r="AT31" s="67">
        <f t="shared" si="8"/>
        <v>0</v>
      </c>
      <c r="AU31" s="68">
        <f t="shared" si="96"/>
        <v>0</v>
      </c>
      <c r="AW31" s="115"/>
      <c r="AX31" s="67">
        <f t="shared" si="9"/>
        <v>0</v>
      </c>
      <c r="AY31" s="68">
        <f t="shared" si="97"/>
        <v>0</v>
      </c>
      <c r="AZ31" s="115"/>
      <c r="BA31" s="67">
        <f t="shared" si="10"/>
        <v>0</v>
      </c>
      <c r="BB31" s="68">
        <f t="shared" si="98"/>
        <v>0</v>
      </c>
      <c r="BD31" s="115">
        <f t="shared" si="99"/>
        <v>0</v>
      </c>
      <c r="BE31" s="67">
        <f t="shared" si="11"/>
        <v>0</v>
      </c>
      <c r="BF31" s="68">
        <f t="shared" si="100"/>
        <v>0</v>
      </c>
      <c r="BG31" s="133">
        <f t="shared" si="101"/>
        <v>0.8</v>
      </c>
      <c r="BH31" s="67">
        <f t="shared" si="12"/>
        <v>2.2803949502267581E-5</v>
      </c>
      <c r="BI31" s="68">
        <f t="shared" si="102"/>
        <v>73.34</v>
      </c>
      <c r="BJ31" s="117"/>
      <c r="BL31" s="92"/>
    </row>
    <row r="32" spans="1:64" x14ac:dyDescent="0.25">
      <c r="A32" s="99" t="str">
        <f>'01 - Orçamento Sintético'!A32</f>
        <v xml:space="preserve"> 2.2 </v>
      </c>
      <c r="B32" s="99"/>
      <c r="C32" s="99"/>
      <c r="D32" s="99" t="str">
        <f>'01 - Orçamento Sintético'!D32</f>
        <v>Externo</v>
      </c>
      <c r="E32" s="99"/>
      <c r="F32" s="93"/>
      <c r="G32" s="69"/>
      <c r="H32" s="69"/>
      <c r="I32" s="69"/>
      <c r="J32" s="69"/>
      <c r="K32" s="69"/>
      <c r="L32" s="70">
        <f>INDEX('01 - Orçamento Sintético'!$A$6:$AB$125,MATCH('02 - Planilha de Medição'!$A32,'01 - Orçamento Sintético'!$A$6:$A$125,0),28)</f>
        <v>71524.899999999994</v>
      </c>
      <c r="N32" s="116"/>
      <c r="O32" s="120">
        <f t="shared" si="14"/>
        <v>2.223957196284072E-2</v>
      </c>
      <c r="P32" s="70">
        <f>SUM(P33,P35,P39,P41)</f>
        <v>71524.899999999994</v>
      </c>
      <c r="Q32" s="116"/>
      <c r="R32" s="120">
        <f t="shared" si="0"/>
        <v>0</v>
      </c>
      <c r="S32" s="70">
        <f>SUM(S33,S35,S39,S41)</f>
        <v>0</v>
      </c>
      <c r="U32" s="116"/>
      <c r="V32" s="120">
        <f t="shared" si="1"/>
        <v>0</v>
      </c>
      <c r="W32" s="70">
        <f>SUM(W33,W35,W39,W41)</f>
        <v>0</v>
      </c>
      <c r="X32" s="116"/>
      <c r="Y32" s="120">
        <f t="shared" si="2"/>
        <v>0</v>
      </c>
      <c r="Z32" s="70">
        <f>SUM(Z33,Z35,Z39,Z41)</f>
        <v>0</v>
      </c>
      <c r="AB32" s="116"/>
      <c r="AC32" s="120">
        <f t="shared" si="3"/>
        <v>0</v>
      </c>
      <c r="AD32" s="70">
        <f>SUM(AD33,AD35,AD39,AD41)</f>
        <v>0</v>
      </c>
      <c r="AE32" s="116"/>
      <c r="AF32" s="120">
        <f t="shared" si="4"/>
        <v>0</v>
      </c>
      <c r="AG32" s="70">
        <f>SUM(AG33,AG35,AG39,AG41)</f>
        <v>0</v>
      </c>
      <c r="AI32" s="116"/>
      <c r="AJ32" s="120">
        <f t="shared" si="5"/>
        <v>0</v>
      </c>
      <c r="AK32" s="70">
        <f>SUM(AK33,AK35,AK39,AK41)</f>
        <v>0</v>
      </c>
      <c r="AL32" s="116"/>
      <c r="AM32" s="120">
        <f t="shared" si="6"/>
        <v>0</v>
      </c>
      <c r="AN32" s="70">
        <f>SUM(AN33,AN35,AN39,AN41)</f>
        <v>0</v>
      </c>
      <c r="AP32" s="116"/>
      <c r="AQ32" s="120">
        <f t="shared" si="7"/>
        <v>0</v>
      </c>
      <c r="AR32" s="70">
        <f>SUM(AR33,AR35,AR39,AR41)</f>
        <v>0</v>
      </c>
      <c r="AS32" s="116"/>
      <c r="AT32" s="120">
        <f t="shared" si="8"/>
        <v>0</v>
      </c>
      <c r="AU32" s="70">
        <f>SUM(AU33,AU35,AU39,AU41)</f>
        <v>0</v>
      </c>
      <c r="AW32" s="116"/>
      <c r="AX32" s="120">
        <f t="shared" si="9"/>
        <v>0</v>
      </c>
      <c r="AY32" s="70">
        <f>SUM(AY33,AY35,AY39,AY41)</f>
        <v>0</v>
      </c>
      <c r="AZ32" s="116"/>
      <c r="BA32" s="120">
        <f t="shared" si="10"/>
        <v>0</v>
      </c>
      <c r="BB32" s="70">
        <f>SUM(BB33,BB35,BB39,BB41)</f>
        <v>0</v>
      </c>
      <c r="BD32" s="116"/>
      <c r="BE32" s="120">
        <f t="shared" si="11"/>
        <v>0</v>
      </c>
      <c r="BF32" s="70">
        <f>SUM(BF33,BF35,BF39,BF41)</f>
        <v>0</v>
      </c>
      <c r="BG32" s="134"/>
      <c r="BH32" s="120">
        <f t="shared" si="12"/>
        <v>2.223957196284072E-2</v>
      </c>
      <c r="BI32" s="70">
        <f>SUM(BI33,BI35,BI39,BI41)</f>
        <v>71524.899999999994</v>
      </c>
      <c r="BJ32" s="117"/>
      <c r="BL32" s="92"/>
    </row>
    <row r="33" spans="1:64" x14ac:dyDescent="0.25">
      <c r="A33" s="99" t="str">
        <f>'01 - Orçamento Sintético'!A33</f>
        <v xml:space="preserve"> 2.2.1 </v>
      </c>
      <c r="B33" s="99"/>
      <c r="C33" s="99"/>
      <c r="D33" s="99" t="str">
        <f>'01 - Orçamento Sintético'!D33</f>
        <v>Térreo - Externo</v>
      </c>
      <c r="E33" s="99"/>
      <c r="F33" s="93"/>
      <c r="G33" s="69"/>
      <c r="H33" s="69"/>
      <c r="I33" s="69"/>
      <c r="J33" s="69"/>
      <c r="K33" s="69"/>
      <c r="L33" s="70">
        <f>INDEX('01 - Orçamento Sintético'!$A$6:$AB$125,MATCH('02 - Planilha de Medição'!$A33,'01 - Orçamento Sintético'!$A$6:$A$125,0),28)</f>
        <v>273.13</v>
      </c>
      <c r="N33" s="116"/>
      <c r="O33" s="120">
        <f t="shared" si="14"/>
        <v>8.4925589413067145E-5</v>
      </c>
      <c r="P33" s="70">
        <f>SUM(P34)</f>
        <v>273.13</v>
      </c>
      <c r="Q33" s="116"/>
      <c r="R33" s="120">
        <f t="shared" si="0"/>
        <v>0</v>
      </c>
      <c r="S33" s="70">
        <f>SUM(S34)</f>
        <v>0</v>
      </c>
      <c r="U33" s="116"/>
      <c r="V33" s="120">
        <f t="shared" si="1"/>
        <v>0</v>
      </c>
      <c r="W33" s="70">
        <f>SUM(W34)</f>
        <v>0</v>
      </c>
      <c r="X33" s="116"/>
      <c r="Y33" s="120">
        <f t="shared" si="2"/>
        <v>0</v>
      </c>
      <c r="Z33" s="70">
        <f>SUM(Z34)</f>
        <v>0</v>
      </c>
      <c r="AB33" s="116"/>
      <c r="AC33" s="120">
        <f t="shared" si="3"/>
        <v>0</v>
      </c>
      <c r="AD33" s="70">
        <f>SUM(AD34)</f>
        <v>0</v>
      </c>
      <c r="AE33" s="116"/>
      <c r="AF33" s="120">
        <f t="shared" si="4"/>
        <v>0</v>
      </c>
      <c r="AG33" s="70">
        <f>SUM(AG34)</f>
        <v>0</v>
      </c>
      <c r="AI33" s="116"/>
      <c r="AJ33" s="120">
        <f t="shared" si="5"/>
        <v>0</v>
      </c>
      <c r="AK33" s="70">
        <f>SUM(AK34)</f>
        <v>0</v>
      </c>
      <c r="AL33" s="116"/>
      <c r="AM33" s="120">
        <f t="shared" si="6"/>
        <v>0</v>
      </c>
      <c r="AN33" s="70">
        <f>SUM(AN34)</f>
        <v>0</v>
      </c>
      <c r="AP33" s="116"/>
      <c r="AQ33" s="120">
        <f t="shared" si="7"/>
        <v>0</v>
      </c>
      <c r="AR33" s="70">
        <f>SUM(AR34)</f>
        <v>0</v>
      </c>
      <c r="AS33" s="116"/>
      <c r="AT33" s="120">
        <f t="shared" si="8"/>
        <v>0</v>
      </c>
      <c r="AU33" s="70">
        <f>SUM(AU34)</f>
        <v>0</v>
      </c>
      <c r="AW33" s="116"/>
      <c r="AX33" s="120">
        <f t="shared" si="9"/>
        <v>0</v>
      </c>
      <c r="AY33" s="70">
        <f>SUM(AY34)</f>
        <v>0</v>
      </c>
      <c r="AZ33" s="116"/>
      <c r="BA33" s="120">
        <f t="shared" si="10"/>
        <v>0</v>
      </c>
      <c r="BB33" s="70">
        <f>SUM(BB34)</f>
        <v>0</v>
      </c>
      <c r="BD33" s="116"/>
      <c r="BE33" s="120">
        <f t="shared" si="11"/>
        <v>0</v>
      </c>
      <c r="BF33" s="70">
        <f>SUM(BF34)</f>
        <v>0</v>
      </c>
      <c r="BG33" s="134"/>
      <c r="BH33" s="120">
        <f t="shared" si="12"/>
        <v>8.4925589413067145E-5</v>
      </c>
      <c r="BI33" s="70">
        <f>SUM(BI34)</f>
        <v>273.13</v>
      </c>
      <c r="BJ33" s="117"/>
      <c r="BL33" s="92"/>
    </row>
    <row r="34" spans="1:64" ht="51" x14ac:dyDescent="0.25">
      <c r="A34" s="100" t="str">
        <f>'01 - Orçamento Sintético'!A34</f>
        <v xml:space="preserve"> 2.2.1.1 </v>
      </c>
      <c r="B34" s="101" t="str">
        <f>'01 - Orçamento Sintético'!B34</f>
        <v xml:space="preserve"> 022098 </v>
      </c>
      <c r="C34" s="100" t="str">
        <f>'01 - Orçamento Sintético'!C34</f>
        <v>SBC</v>
      </c>
      <c r="D34" s="100" t="str">
        <f>'01 - Orçamento Sintético'!D34</f>
        <v>DEMOLICAO PISO CONCRETO ATE 20cm COM MARTELETE ELETRICO</v>
      </c>
      <c r="E34" s="94" t="str">
        <f>'01 - Orçamento Sintético'!E34</f>
        <v>m³</v>
      </c>
      <c r="F34" s="94">
        <f>'01 - Orçamento Sintético'!F34</f>
        <v>0.92</v>
      </c>
      <c r="G34" s="68">
        <f>INDEX('01 - Orçamento Sintético'!$A$6:$AB$125,MATCH('02 - Planilha de Medição'!$A34,'01 - Orçamento Sintético'!$A$6:$A$125,0),23)</f>
        <v>243.6</v>
      </c>
      <c r="H34" s="68">
        <f>INDEX('01 - Orçamento Sintético'!$A$6:$AB$125,MATCH('02 - Planilha de Medição'!$A34,'01 - Orçamento Sintético'!$A$6:$A$125,0),24)</f>
        <v>53.289999999999992</v>
      </c>
      <c r="I34" s="68">
        <f>INDEX('01 - Orçamento Sintético'!$A$6:$AB$125,MATCH('02 - Planilha de Medição'!$A34,'01 - Orçamento Sintético'!$A$6:$A$125,0),25)</f>
        <v>296.89</v>
      </c>
      <c r="J34" s="68">
        <f>INDEX('01 - Orçamento Sintético'!$A$6:$AB$125,MATCH('02 - Planilha de Medição'!$A34,'01 - Orçamento Sintético'!$A$6:$A$125,0),26)</f>
        <v>224.11</v>
      </c>
      <c r="K34" s="68">
        <f>INDEX('01 - Orçamento Sintético'!$A$6:$AB$125,MATCH('02 - Planilha de Medição'!$A34,'01 - Orçamento Sintético'!$A$6:$A$125,0),27)</f>
        <v>49.019999999999982</v>
      </c>
      <c r="L34" s="68">
        <f>INDEX('01 - Orçamento Sintético'!$A$6:$AB$125,MATCH('02 - Planilha de Medição'!$A34,'01 - Orçamento Sintético'!$A$6:$A$125,0),28)</f>
        <v>273.13</v>
      </c>
      <c r="N34" s="115">
        <f>F34</f>
        <v>0.92</v>
      </c>
      <c r="O34" s="67">
        <f t="shared" si="14"/>
        <v>8.4925589413067145E-5</v>
      </c>
      <c r="P34" s="68">
        <f t="shared" ref="P34" si="104">TRUNC(N34*$I34,2)</f>
        <v>273.13</v>
      </c>
      <c r="Q34" s="115"/>
      <c r="R34" s="67">
        <f t="shared" si="0"/>
        <v>0</v>
      </c>
      <c r="S34" s="68">
        <f t="shared" ref="S34" si="105">TRUNC(Q34*$I34,2)</f>
        <v>0</v>
      </c>
      <c r="U34" s="115"/>
      <c r="V34" s="67">
        <f t="shared" si="1"/>
        <v>0</v>
      </c>
      <c r="W34" s="68">
        <f t="shared" ref="W34" si="106">TRUNC(U34*$I34,2)</f>
        <v>0</v>
      </c>
      <c r="X34" s="115"/>
      <c r="Y34" s="67">
        <f t="shared" si="2"/>
        <v>0</v>
      </c>
      <c r="Z34" s="68">
        <f t="shared" ref="Z34" si="107">TRUNC(X34*$I34,2)</f>
        <v>0</v>
      </c>
      <c r="AB34" s="115"/>
      <c r="AC34" s="67">
        <f t="shared" si="3"/>
        <v>0</v>
      </c>
      <c r="AD34" s="68">
        <f t="shared" ref="AD34" si="108">TRUNC(AB34*$I34,2)</f>
        <v>0</v>
      </c>
      <c r="AE34" s="115"/>
      <c r="AF34" s="67">
        <f t="shared" si="4"/>
        <v>0</v>
      </c>
      <c r="AG34" s="68">
        <f t="shared" ref="AG34" si="109">TRUNC(AE34*$I34,2)</f>
        <v>0</v>
      </c>
      <c r="AI34" s="115"/>
      <c r="AJ34" s="67">
        <f t="shared" si="5"/>
        <v>0</v>
      </c>
      <c r="AK34" s="68">
        <f t="shared" ref="AK34" si="110">TRUNC(AI34*$I34,2)</f>
        <v>0</v>
      </c>
      <c r="AL34" s="115"/>
      <c r="AM34" s="67">
        <f t="shared" si="6"/>
        <v>0</v>
      </c>
      <c r="AN34" s="68">
        <f t="shared" ref="AN34" si="111">TRUNC(AL34*$I34,2)</f>
        <v>0</v>
      </c>
      <c r="AP34" s="115"/>
      <c r="AQ34" s="67">
        <f t="shared" si="7"/>
        <v>0</v>
      </c>
      <c r="AR34" s="68">
        <f t="shared" ref="AR34" si="112">TRUNC(AP34*$I34,2)</f>
        <v>0</v>
      </c>
      <c r="AS34" s="115"/>
      <c r="AT34" s="67">
        <f t="shared" si="8"/>
        <v>0</v>
      </c>
      <c r="AU34" s="68">
        <f t="shared" ref="AU34" si="113">TRUNC(AS34*$I34,2)</f>
        <v>0</v>
      </c>
      <c r="AW34" s="115"/>
      <c r="AX34" s="67">
        <f t="shared" si="9"/>
        <v>0</v>
      </c>
      <c r="AY34" s="68">
        <f t="shared" ref="AY34" si="114">TRUNC(AW34*$I34,2)</f>
        <v>0</v>
      </c>
      <c r="AZ34" s="115"/>
      <c r="BA34" s="67">
        <f t="shared" si="10"/>
        <v>0</v>
      </c>
      <c r="BB34" s="68">
        <f t="shared" ref="BB34" si="115">TRUNC(AZ34*$I34,2)</f>
        <v>0</v>
      </c>
      <c r="BD34" s="115">
        <f>SUM(Q34,X34,AE34,AL34,AS34,AZ34)</f>
        <v>0</v>
      </c>
      <c r="BE34" s="67">
        <f t="shared" si="11"/>
        <v>0</v>
      </c>
      <c r="BF34" s="68">
        <f>TRUNC(BD34*$I34,2)</f>
        <v>0</v>
      </c>
      <c r="BG34" s="133">
        <f>$F34-BD34</f>
        <v>0.92</v>
      </c>
      <c r="BH34" s="67">
        <f t="shared" si="12"/>
        <v>8.4925589413067145E-5</v>
      </c>
      <c r="BI34" s="68">
        <f>TRUNC(BG34*$I34,2)</f>
        <v>273.13</v>
      </c>
      <c r="BJ34" s="117"/>
      <c r="BL34" s="92"/>
    </row>
    <row r="35" spans="1:64" x14ac:dyDescent="0.25">
      <c r="A35" s="99" t="str">
        <f>'01 - Orçamento Sintético'!A35</f>
        <v xml:space="preserve"> 2.2.2 </v>
      </c>
      <c r="B35" s="99"/>
      <c r="C35" s="99"/>
      <c r="D35" s="99" t="str">
        <f>'01 - Orçamento Sintético'!D35</f>
        <v>Fachadas</v>
      </c>
      <c r="E35" s="99"/>
      <c r="F35" s="93"/>
      <c r="G35" s="69"/>
      <c r="H35" s="69"/>
      <c r="I35" s="69"/>
      <c r="J35" s="69"/>
      <c r="K35" s="69"/>
      <c r="L35" s="70">
        <f>INDEX('01 - Orçamento Sintético'!$A$6:$AB$125,MATCH('02 - Planilha de Medição'!$A35,'01 - Orçamento Sintético'!$A$6:$A$125,0),28)</f>
        <v>54766.37</v>
      </c>
      <c r="N35" s="116"/>
      <c r="O35" s="120">
        <f t="shared" si="14"/>
        <v>1.7028763783781049E-2</v>
      </c>
      <c r="P35" s="70">
        <f>SUM(P36:P38)</f>
        <v>54766.37</v>
      </c>
      <c r="Q35" s="116"/>
      <c r="R35" s="120">
        <f t="shared" si="0"/>
        <v>0</v>
      </c>
      <c r="S35" s="70">
        <f>SUM(S36:S38)</f>
        <v>0</v>
      </c>
      <c r="U35" s="116"/>
      <c r="V35" s="120">
        <f t="shared" si="1"/>
        <v>0</v>
      </c>
      <c r="W35" s="70">
        <f>SUM(W36:W38)</f>
        <v>0</v>
      </c>
      <c r="X35" s="116"/>
      <c r="Y35" s="120">
        <f t="shared" si="2"/>
        <v>0</v>
      </c>
      <c r="Z35" s="70">
        <f>SUM(Z36:Z38)</f>
        <v>0</v>
      </c>
      <c r="AB35" s="116"/>
      <c r="AC35" s="120">
        <f t="shared" si="3"/>
        <v>0</v>
      </c>
      <c r="AD35" s="70">
        <f>SUM(AD36:AD38)</f>
        <v>0</v>
      </c>
      <c r="AE35" s="116"/>
      <c r="AF35" s="120">
        <f t="shared" si="4"/>
        <v>0</v>
      </c>
      <c r="AG35" s="70">
        <f>SUM(AG36:AG38)</f>
        <v>0</v>
      </c>
      <c r="AI35" s="116"/>
      <c r="AJ35" s="120">
        <f t="shared" si="5"/>
        <v>0</v>
      </c>
      <c r="AK35" s="70">
        <f>SUM(AK36:AK38)</f>
        <v>0</v>
      </c>
      <c r="AL35" s="116"/>
      <c r="AM35" s="120">
        <f t="shared" si="6"/>
        <v>0</v>
      </c>
      <c r="AN35" s="70">
        <f>SUM(AN36:AN38)</f>
        <v>0</v>
      </c>
      <c r="AP35" s="116"/>
      <c r="AQ35" s="120">
        <f t="shared" si="7"/>
        <v>0</v>
      </c>
      <c r="AR35" s="70">
        <f>SUM(AR36:AR38)</f>
        <v>0</v>
      </c>
      <c r="AS35" s="116"/>
      <c r="AT35" s="120">
        <f t="shared" si="8"/>
        <v>0</v>
      </c>
      <c r="AU35" s="70">
        <f>SUM(AU36:AU38)</f>
        <v>0</v>
      </c>
      <c r="AW35" s="116"/>
      <c r="AX35" s="120">
        <f t="shared" si="9"/>
        <v>0</v>
      </c>
      <c r="AY35" s="70">
        <f>SUM(AY36:AY38)</f>
        <v>0</v>
      </c>
      <c r="AZ35" s="116"/>
      <c r="BA35" s="120">
        <f t="shared" si="10"/>
        <v>0</v>
      </c>
      <c r="BB35" s="70">
        <f>SUM(BB36:BB38)</f>
        <v>0</v>
      </c>
      <c r="BD35" s="116"/>
      <c r="BE35" s="120">
        <f t="shared" si="11"/>
        <v>0</v>
      </c>
      <c r="BF35" s="70">
        <f>SUM(BF36:BF38)</f>
        <v>0</v>
      </c>
      <c r="BG35" s="134"/>
      <c r="BH35" s="120">
        <f t="shared" si="12"/>
        <v>1.7028763783781049E-2</v>
      </c>
      <c r="BI35" s="70">
        <f>SUM(BI36:BI38)</f>
        <v>54766.37</v>
      </c>
      <c r="BJ35" s="117"/>
      <c r="BL35" s="92"/>
    </row>
    <row r="36" spans="1:64" ht="38.25" x14ac:dyDescent="0.25">
      <c r="A36" s="100" t="str">
        <f>'01 - Orçamento Sintético'!A36</f>
        <v xml:space="preserve"> 2.2.2.1 </v>
      </c>
      <c r="B36" s="101" t="str">
        <f>'01 - Orçamento Sintético'!B36</f>
        <v xml:space="preserve"> 29 </v>
      </c>
      <c r="C36" s="100" t="str">
        <f>'01 - Orçamento Sintético'!C36</f>
        <v>ORSE</v>
      </c>
      <c r="D36" s="100" t="str">
        <f>'01 - Orçamento Sintético'!D36</f>
        <v>Remoção de pintura à óleo ou esmalte -  Rev 01</v>
      </c>
      <c r="E36" s="94" t="str">
        <f>'01 - Orçamento Sintético'!E36</f>
        <v>m²</v>
      </c>
      <c r="F36" s="94">
        <f>'01 - Orçamento Sintético'!F36</f>
        <v>293.29000000000002</v>
      </c>
      <c r="G36" s="68">
        <f>INDEX('01 - Orçamento Sintético'!$A$6:$AB$125,MATCH('02 - Planilha de Medição'!$A36,'01 - Orçamento Sintético'!$A$6:$A$125,0),23)</f>
        <v>11.75</v>
      </c>
      <c r="H36" s="68">
        <f>INDEX('01 - Orçamento Sintético'!$A$6:$AB$125,MATCH('02 - Planilha de Medição'!$A36,'01 - Orçamento Sintético'!$A$6:$A$125,0),24)</f>
        <v>8.7800000000000011</v>
      </c>
      <c r="I36" s="68">
        <f>INDEX('01 - Orçamento Sintético'!$A$6:$AB$125,MATCH('02 - Planilha de Medição'!$A36,'01 - Orçamento Sintético'!$A$6:$A$125,0),25)</f>
        <v>20.53</v>
      </c>
      <c r="J36" s="68">
        <f>INDEX('01 - Orçamento Sintético'!$A$6:$AB$125,MATCH('02 - Planilha de Medição'!$A36,'01 - Orçamento Sintético'!$A$6:$A$125,0),26)</f>
        <v>3446.15</v>
      </c>
      <c r="K36" s="68">
        <f>INDEX('01 - Orçamento Sintético'!$A$6:$AB$125,MATCH('02 - Planilha de Medição'!$A36,'01 - Orçamento Sintético'!$A$6:$A$125,0),27)</f>
        <v>2575.0899999999997</v>
      </c>
      <c r="L36" s="68">
        <f>INDEX('01 - Orçamento Sintético'!$A$6:$AB$125,MATCH('02 - Planilha de Medição'!$A36,'01 - Orçamento Sintético'!$A$6:$A$125,0),28)</f>
        <v>6021.24</v>
      </c>
      <c r="N36" s="115">
        <f>F36</f>
        <v>293.29000000000002</v>
      </c>
      <c r="O36" s="67">
        <f t="shared" si="14"/>
        <v>1.8722123384378735E-3</v>
      </c>
      <c r="P36" s="68">
        <f t="shared" ref="P36:P38" si="116">TRUNC(N36*$I36,2)</f>
        <v>6021.24</v>
      </c>
      <c r="Q36" s="115"/>
      <c r="R36" s="67">
        <f t="shared" si="0"/>
        <v>0</v>
      </c>
      <c r="S36" s="68">
        <f t="shared" ref="S36:S38" si="117">TRUNC(Q36*$I36,2)</f>
        <v>0</v>
      </c>
      <c r="U36" s="115"/>
      <c r="V36" s="67">
        <f t="shared" si="1"/>
        <v>0</v>
      </c>
      <c r="W36" s="68">
        <f t="shared" ref="W36:W38" si="118">TRUNC(U36*$I36,2)</f>
        <v>0</v>
      </c>
      <c r="X36" s="115"/>
      <c r="Y36" s="67">
        <f t="shared" si="2"/>
        <v>0</v>
      </c>
      <c r="Z36" s="68">
        <f t="shared" ref="Z36:Z38" si="119">TRUNC(X36*$I36,2)</f>
        <v>0</v>
      </c>
      <c r="AB36" s="115"/>
      <c r="AC36" s="67">
        <f t="shared" si="3"/>
        <v>0</v>
      </c>
      <c r="AD36" s="68">
        <f t="shared" ref="AD36:AD38" si="120">TRUNC(AB36*$I36,2)</f>
        <v>0</v>
      </c>
      <c r="AE36" s="115"/>
      <c r="AF36" s="67">
        <f t="shared" si="4"/>
        <v>0</v>
      </c>
      <c r="AG36" s="68">
        <f t="shared" ref="AG36:AG38" si="121">TRUNC(AE36*$I36,2)</f>
        <v>0</v>
      </c>
      <c r="AI36" s="115"/>
      <c r="AJ36" s="67">
        <f t="shared" si="5"/>
        <v>0</v>
      </c>
      <c r="AK36" s="68">
        <f t="shared" ref="AK36:AK38" si="122">TRUNC(AI36*$I36,2)</f>
        <v>0</v>
      </c>
      <c r="AL36" s="115"/>
      <c r="AM36" s="67">
        <f t="shared" si="6"/>
        <v>0</v>
      </c>
      <c r="AN36" s="68">
        <f t="shared" ref="AN36:AN38" si="123">TRUNC(AL36*$I36,2)</f>
        <v>0</v>
      </c>
      <c r="AP36" s="115"/>
      <c r="AQ36" s="67">
        <f t="shared" si="7"/>
        <v>0</v>
      </c>
      <c r="AR36" s="68">
        <f t="shared" ref="AR36:AR38" si="124">TRUNC(AP36*$I36,2)</f>
        <v>0</v>
      </c>
      <c r="AS36" s="115"/>
      <c r="AT36" s="67">
        <f t="shared" si="8"/>
        <v>0</v>
      </c>
      <c r="AU36" s="68">
        <f t="shared" ref="AU36:AU38" si="125">TRUNC(AS36*$I36,2)</f>
        <v>0</v>
      </c>
      <c r="AW36" s="115"/>
      <c r="AX36" s="67">
        <f t="shared" si="9"/>
        <v>0</v>
      </c>
      <c r="AY36" s="68">
        <f t="shared" ref="AY36:AY38" si="126">TRUNC(AW36*$I36,2)</f>
        <v>0</v>
      </c>
      <c r="AZ36" s="115"/>
      <c r="BA36" s="67">
        <f t="shared" si="10"/>
        <v>0</v>
      </c>
      <c r="BB36" s="68">
        <f t="shared" ref="BB36:BB38" si="127">TRUNC(AZ36*$I36,2)</f>
        <v>0</v>
      </c>
      <c r="BD36" s="115">
        <f t="shared" ref="BD36:BD38" si="128">SUM(Q36,X36,AE36,AL36,AS36,AZ36)</f>
        <v>0</v>
      </c>
      <c r="BE36" s="67">
        <f t="shared" si="11"/>
        <v>0</v>
      </c>
      <c r="BF36" s="68">
        <f t="shared" ref="BF36:BF38" si="129">TRUNC(BD36*$I36,2)</f>
        <v>0</v>
      </c>
      <c r="BG36" s="133">
        <f t="shared" ref="BG36:BG38" si="130">$F36-BD36</f>
        <v>293.29000000000002</v>
      </c>
      <c r="BH36" s="67">
        <f t="shared" si="12"/>
        <v>1.8722123384378735E-3</v>
      </c>
      <c r="BI36" s="68">
        <f t="shared" ref="BI36:BI38" si="131">TRUNC(BG36*$I36,2)</f>
        <v>6021.24</v>
      </c>
      <c r="BJ36" s="117"/>
      <c r="BL36" s="92"/>
    </row>
    <row r="37" spans="1:64" ht="51" x14ac:dyDescent="0.25">
      <c r="A37" s="100" t="str">
        <f>'01 - Orçamento Sintético'!A37</f>
        <v xml:space="preserve"> 2.2.2.2 </v>
      </c>
      <c r="B37" s="101" t="str">
        <f>'01 - Orçamento Sintético'!B37</f>
        <v xml:space="preserve"> 7725 </v>
      </c>
      <c r="C37" s="100" t="str">
        <f>'01 - Orçamento Sintético'!C37</f>
        <v>ORSE</v>
      </c>
      <c r="D37" s="100" t="str">
        <f>'01 - Orçamento Sintético'!D37</f>
        <v>Remoção de pintura látex (raspagem e/ou lixamento e/ou escovação)</v>
      </c>
      <c r="E37" s="94" t="str">
        <f>'01 - Orçamento Sintético'!E37</f>
        <v>m²</v>
      </c>
      <c r="F37" s="94">
        <f>'01 - Orçamento Sintético'!F37</f>
        <v>189.38</v>
      </c>
      <c r="G37" s="68">
        <f>INDEX('01 - Orçamento Sintético'!$A$6:$AB$125,MATCH('02 - Planilha de Medição'!$A37,'01 - Orçamento Sintético'!$A$6:$A$125,0),23)</f>
        <v>9.39</v>
      </c>
      <c r="H37" s="68">
        <f>INDEX('01 - Orçamento Sintético'!$A$6:$AB$125,MATCH('02 - Planilha de Medição'!$A37,'01 - Orçamento Sintético'!$A$6:$A$125,0),24)</f>
        <v>4.4399999999999995</v>
      </c>
      <c r="I37" s="68">
        <f>INDEX('01 - Orçamento Sintético'!$A$6:$AB$125,MATCH('02 - Planilha de Medição'!$A37,'01 - Orçamento Sintético'!$A$6:$A$125,0),25)</f>
        <v>13.83</v>
      </c>
      <c r="J37" s="68">
        <f>INDEX('01 - Orçamento Sintético'!$A$6:$AB$125,MATCH('02 - Planilha de Medição'!$A37,'01 - Orçamento Sintético'!$A$6:$A$125,0),26)</f>
        <v>1778.27</v>
      </c>
      <c r="K37" s="68">
        <f>INDEX('01 - Orçamento Sintético'!$A$6:$AB$125,MATCH('02 - Planilha de Medição'!$A37,'01 - Orçamento Sintético'!$A$6:$A$125,0),27)</f>
        <v>840.84999999999991</v>
      </c>
      <c r="L37" s="68">
        <f>INDEX('01 - Orçamento Sintético'!$A$6:$AB$125,MATCH('02 - Planilha de Medição'!$A37,'01 - Orçamento Sintético'!$A$6:$A$125,0),28)</f>
        <v>2619.12</v>
      </c>
      <c r="N37" s="115">
        <f>F37</f>
        <v>189.38</v>
      </c>
      <c r="O37" s="67">
        <f t="shared" si="14"/>
        <v>8.1437524161956723E-4</v>
      </c>
      <c r="P37" s="68">
        <f t="shared" si="116"/>
        <v>2619.12</v>
      </c>
      <c r="Q37" s="115"/>
      <c r="R37" s="67">
        <f t="shared" si="0"/>
        <v>0</v>
      </c>
      <c r="S37" s="68">
        <f t="shared" si="117"/>
        <v>0</v>
      </c>
      <c r="U37" s="115"/>
      <c r="V37" s="67">
        <f t="shared" si="1"/>
        <v>0</v>
      </c>
      <c r="W37" s="68">
        <f t="shared" si="118"/>
        <v>0</v>
      </c>
      <c r="X37" s="115"/>
      <c r="Y37" s="67">
        <f t="shared" si="2"/>
        <v>0</v>
      </c>
      <c r="Z37" s="68">
        <f t="shared" si="119"/>
        <v>0</v>
      </c>
      <c r="AB37" s="115"/>
      <c r="AC37" s="67">
        <f t="shared" si="3"/>
        <v>0</v>
      </c>
      <c r="AD37" s="68">
        <f t="shared" si="120"/>
        <v>0</v>
      </c>
      <c r="AE37" s="115"/>
      <c r="AF37" s="67">
        <f t="shared" si="4"/>
        <v>0</v>
      </c>
      <c r="AG37" s="68">
        <f t="shared" si="121"/>
        <v>0</v>
      </c>
      <c r="AI37" s="115"/>
      <c r="AJ37" s="67">
        <f t="shared" si="5"/>
        <v>0</v>
      </c>
      <c r="AK37" s="68">
        <f t="shared" si="122"/>
        <v>0</v>
      </c>
      <c r="AL37" s="115"/>
      <c r="AM37" s="67">
        <f t="shared" si="6"/>
        <v>0</v>
      </c>
      <c r="AN37" s="68">
        <f t="shared" si="123"/>
        <v>0</v>
      </c>
      <c r="AP37" s="115"/>
      <c r="AQ37" s="67">
        <f t="shared" si="7"/>
        <v>0</v>
      </c>
      <c r="AR37" s="68">
        <f t="shared" si="124"/>
        <v>0</v>
      </c>
      <c r="AS37" s="115"/>
      <c r="AT37" s="67">
        <f t="shared" si="8"/>
        <v>0</v>
      </c>
      <c r="AU37" s="68">
        <f t="shared" si="125"/>
        <v>0</v>
      </c>
      <c r="AW37" s="115"/>
      <c r="AX37" s="67">
        <f t="shared" si="9"/>
        <v>0</v>
      </c>
      <c r="AY37" s="68">
        <f t="shared" si="126"/>
        <v>0</v>
      </c>
      <c r="AZ37" s="115"/>
      <c r="BA37" s="67">
        <f t="shared" si="10"/>
        <v>0</v>
      </c>
      <c r="BB37" s="68">
        <f t="shared" si="127"/>
        <v>0</v>
      </c>
      <c r="BD37" s="115">
        <f t="shared" si="128"/>
        <v>0</v>
      </c>
      <c r="BE37" s="67">
        <f t="shared" si="11"/>
        <v>0</v>
      </c>
      <c r="BF37" s="68">
        <f t="shared" si="129"/>
        <v>0</v>
      </c>
      <c r="BG37" s="133">
        <f t="shared" si="130"/>
        <v>189.38</v>
      </c>
      <c r="BH37" s="67">
        <f t="shared" si="12"/>
        <v>8.1437524161956723E-4</v>
      </c>
      <c r="BI37" s="68">
        <f t="shared" si="131"/>
        <v>2619.12</v>
      </c>
      <c r="BJ37" s="117"/>
      <c r="BL37" s="92"/>
    </row>
    <row r="38" spans="1:64" ht="63.75" x14ac:dyDescent="0.25">
      <c r="A38" s="100" t="str">
        <f>'01 - Orçamento Sintético'!A38</f>
        <v xml:space="preserve"> 2.2.2.3 </v>
      </c>
      <c r="B38" s="101" t="str">
        <f>'01 - Orçamento Sintético'!B38</f>
        <v xml:space="preserve"> 4513 </v>
      </c>
      <c r="C38" s="100" t="str">
        <f>'01 - Orçamento Sintético'!C38</f>
        <v>ORSE</v>
      </c>
      <c r="D38" s="100" t="str">
        <f>'01 - Orçamento Sintético'!D38</f>
        <v>Restauro - Lavagem de superfície com hidrojateamento a uma pressão mínima de 1200 lb</v>
      </c>
      <c r="E38" s="94" t="str">
        <f>'01 - Orçamento Sintético'!E38</f>
        <v>m²</v>
      </c>
      <c r="F38" s="94">
        <f>'01 - Orçamento Sintético'!F38</f>
        <v>1591.65</v>
      </c>
      <c r="G38" s="68">
        <f>INDEX('01 - Orçamento Sintético'!$A$6:$AB$125,MATCH('02 - Planilha de Medição'!$A38,'01 - Orçamento Sintético'!$A$6:$A$125,0),23)</f>
        <v>19.829999999999998</v>
      </c>
      <c r="H38" s="68">
        <f>INDEX('01 - Orçamento Sintético'!$A$6:$AB$125,MATCH('02 - Planilha de Medição'!$A38,'01 - Orçamento Sintético'!$A$6:$A$125,0),24)</f>
        <v>9.1500000000000021</v>
      </c>
      <c r="I38" s="68">
        <f>INDEX('01 - Orçamento Sintético'!$A$6:$AB$125,MATCH('02 - Planilha de Medição'!$A38,'01 - Orçamento Sintético'!$A$6:$A$125,0),25)</f>
        <v>28.98</v>
      </c>
      <c r="J38" s="68">
        <f>INDEX('01 - Orçamento Sintético'!$A$6:$AB$125,MATCH('02 - Planilha de Medição'!$A38,'01 - Orçamento Sintético'!$A$6:$A$125,0),26)</f>
        <v>31562.41</v>
      </c>
      <c r="K38" s="68">
        <f>INDEX('01 - Orçamento Sintético'!$A$6:$AB$125,MATCH('02 - Planilha de Medição'!$A38,'01 - Orçamento Sintético'!$A$6:$A$125,0),27)</f>
        <v>14563.600000000002</v>
      </c>
      <c r="L38" s="68">
        <f>INDEX('01 - Orçamento Sintético'!$A$6:$AB$125,MATCH('02 - Planilha de Medição'!$A38,'01 - Orçamento Sintético'!$A$6:$A$125,0),28)</f>
        <v>46126.01</v>
      </c>
      <c r="N38" s="115">
        <f>F38</f>
        <v>1591.65</v>
      </c>
      <c r="O38" s="67">
        <f t="shared" si="14"/>
        <v>1.4342176203723609E-2</v>
      </c>
      <c r="P38" s="68">
        <f t="shared" si="116"/>
        <v>46126.01</v>
      </c>
      <c r="Q38" s="115"/>
      <c r="R38" s="67">
        <f t="shared" si="0"/>
        <v>0</v>
      </c>
      <c r="S38" s="68">
        <f t="shared" si="117"/>
        <v>0</v>
      </c>
      <c r="U38" s="115"/>
      <c r="V38" s="67">
        <f t="shared" si="1"/>
        <v>0</v>
      </c>
      <c r="W38" s="68">
        <f t="shared" si="118"/>
        <v>0</v>
      </c>
      <c r="X38" s="115"/>
      <c r="Y38" s="67">
        <f t="shared" si="2"/>
        <v>0</v>
      </c>
      <c r="Z38" s="68">
        <f t="shared" si="119"/>
        <v>0</v>
      </c>
      <c r="AB38" s="115"/>
      <c r="AC38" s="67">
        <f t="shared" si="3"/>
        <v>0</v>
      </c>
      <c r="AD38" s="68">
        <f t="shared" si="120"/>
        <v>0</v>
      </c>
      <c r="AE38" s="115"/>
      <c r="AF38" s="67">
        <f t="shared" si="4"/>
        <v>0</v>
      </c>
      <c r="AG38" s="68">
        <f t="shared" si="121"/>
        <v>0</v>
      </c>
      <c r="AI38" s="115"/>
      <c r="AJ38" s="67">
        <f t="shared" si="5"/>
        <v>0</v>
      </c>
      <c r="AK38" s="68">
        <f t="shared" si="122"/>
        <v>0</v>
      </c>
      <c r="AL38" s="115"/>
      <c r="AM38" s="67">
        <f t="shared" si="6"/>
        <v>0</v>
      </c>
      <c r="AN38" s="68">
        <f t="shared" si="123"/>
        <v>0</v>
      </c>
      <c r="AP38" s="115"/>
      <c r="AQ38" s="67">
        <f t="shared" si="7"/>
        <v>0</v>
      </c>
      <c r="AR38" s="68">
        <f t="shared" si="124"/>
        <v>0</v>
      </c>
      <c r="AS38" s="115"/>
      <c r="AT38" s="67">
        <f t="shared" si="8"/>
        <v>0</v>
      </c>
      <c r="AU38" s="68">
        <f t="shared" si="125"/>
        <v>0</v>
      </c>
      <c r="AW38" s="115"/>
      <c r="AX38" s="67">
        <f t="shared" si="9"/>
        <v>0</v>
      </c>
      <c r="AY38" s="68">
        <f t="shared" si="126"/>
        <v>0</v>
      </c>
      <c r="AZ38" s="115"/>
      <c r="BA38" s="67">
        <f t="shared" si="10"/>
        <v>0</v>
      </c>
      <c r="BB38" s="68">
        <f t="shared" si="127"/>
        <v>0</v>
      </c>
      <c r="BD38" s="115">
        <f t="shared" si="128"/>
        <v>0</v>
      </c>
      <c r="BE38" s="67">
        <f t="shared" si="11"/>
        <v>0</v>
      </c>
      <c r="BF38" s="68">
        <f t="shared" si="129"/>
        <v>0</v>
      </c>
      <c r="BG38" s="133">
        <f t="shared" si="130"/>
        <v>1591.65</v>
      </c>
      <c r="BH38" s="67">
        <f t="shared" si="12"/>
        <v>1.4342176203723609E-2</v>
      </c>
      <c r="BI38" s="68">
        <f t="shared" si="131"/>
        <v>46126.01</v>
      </c>
      <c r="BJ38" s="117"/>
      <c r="BL38" s="92"/>
    </row>
    <row r="39" spans="1:64" x14ac:dyDescent="0.25">
      <c r="A39" s="99" t="str">
        <f>'01 - Orçamento Sintético'!A39</f>
        <v xml:space="preserve"> 2.2.3 </v>
      </c>
      <c r="B39" s="99"/>
      <c r="C39" s="99"/>
      <c r="D39" s="99" t="str">
        <f>'01 - Orçamento Sintético'!D39</f>
        <v>Estacionamento</v>
      </c>
      <c r="E39" s="99"/>
      <c r="F39" s="93"/>
      <c r="G39" s="69"/>
      <c r="H39" s="69"/>
      <c r="I39" s="69"/>
      <c r="J39" s="69"/>
      <c r="K39" s="69"/>
      <c r="L39" s="70">
        <f>INDEX('01 - Orçamento Sintético'!$A$6:$AB$125,MATCH('02 - Planilha de Medição'!$A39,'01 - Orçamento Sintético'!$A$6:$A$125,0),28)</f>
        <v>8473.14</v>
      </c>
      <c r="N39" s="116"/>
      <c r="O39" s="120">
        <f t="shared" si="14"/>
        <v>2.634593082705802E-3</v>
      </c>
      <c r="P39" s="70">
        <f>SUM(P40)</f>
        <v>8473.14</v>
      </c>
      <c r="Q39" s="116"/>
      <c r="R39" s="120">
        <f t="shared" si="0"/>
        <v>0</v>
      </c>
      <c r="S39" s="70">
        <f>SUM(S40)</f>
        <v>0</v>
      </c>
      <c r="U39" s="116"/>
      <c r="V39" s="120">
        <f t="shared" si="1"/>
        <v>0</v>
      </c>
      <c r="W39" s="70">
        <f>SUM(W40)</f>
        <v>0</v>
      </c>
      <c r="X39" s="116"/>
      <c r="Y39" s="120">
        <f t="shared" si="2"/>
        <v>0</v>
      </c>
      <c r="Z39" s="70">
        <f>SUM(Z40)</f>
        <v>0</v>
      </c>
      <c r="AB39" s="116"/>
      <c r="AC39" s="120">
        <f t="shared" si="3"/>
        <v>0</v>
      </c>
      <c r="AD39" s="70">
        <f>SUM(AD40)</f>
        <v>0</v>
      </c>
      <c r="AE39" s="116"/>
      <c r="AF39" s="120">
        <f t="shared" si="4"/>
        <v>0</v>
      </c>
      <c r="AG39" s="70">
        <f>SUM(AG40)</f>
        <v>0</v>
      </c>
      <c r="AI39" s="116"/>
      <c r="AJ39" s="120">
        <f t="shared" si="5"/>
        <v>0</v>
      </c>
      <c r="AK39" s="70">
        <f>SUM(AK40)</f>
        <v>0</v>
      </c>
      <c r="AL39" s="116"/>
      <c r="AM39" s="120">
        <f t="shared" si="6"/>
        <v>0</v>
      </c>
      <c r="AN39" s="70">
        <f>SUM(AN40)</f>
        <v>0</v>
      </c>
      <c r="AP39" s="116"/>
      <c r="AQ39" s="120">
        <f t="shared" si="7"/>
        <v>0</v>
      </c>
      <c r="AR39" s="70">
        <f>SUM(AR40)</f>
        <v>0</v>
      </c>
      <c r="AS39" s="116"/>
      <c r="AT39" s="120">
        <f t="shared" si="8"/>
        <v>0</v>
      </c>
      <c r="AU39" s="70">
        <f>SUM(AU40)</f>
        <v>0</v>
      </c>
      <c r="AW39" s="116"/>
      <c r="AX39" s="120">
        <f t="shared" si="9"/>
        <v>0</v>
      </c>
      <c r="AY39" s="70">
        <f>SUM(AY40)</f>
        <v>0</v>
      </c>
      <c r="AZ39" s="116"/>
      <c r="BA39" s="120">
        <f t="shared" si="10"/>
        <v>0</v>
      </c>
      <c r="BB39" s="70">
        <f>SUM(BB40)</f>
        <v>0</v>
      </c>
      <c r="BD39" s="116"/>
      <c r="BE39" s="120">
        <f t="shared" si="11"/>
        <v>0</v>
      </c>
      <c r="BF39" s="70">
        <f>SUM(BF40)</f>
        <v>0</v>
      </c>
      <c r="BG39" s="134"/>
      <c r="BH39" s="120">
        <f t="shared" si="12"/>
        <v>2.634593082705802E-3</v>
      </c>
      <c r="BI39" s="70">
        <f>SUM(BI40)</f>
        <v>8473.14</v>
      </c>
      <c r="BJ39" s="117"/>
      <c r="BL39" s="92"/>
    </row>
    <row r="40" spans="1:64" ht="89.25" x14ac:dyDescent="0.25">
      <c r="A40" s="100" t="str">
        <f>'01 - Orçamento Sintético'!A40</f>
        <v xml:space="preserve"> 2.2.3.1 </v>
      </c>
      <c r="B40" s="101" t="str">
        <f>'01 - Orçamento Sintético'!B40</f>
        <v xml:space="preserve"> 104790 </v>
      </c>
      <c r="C40" s="100" t="str">
        <f>'01 - Orçamento Sintético'!C40</f>
        <v>SINAPI</v>
      </c>
      <c r="D40" s="100" t="str">
        <f>'01 - Orçamento Sintético'!D40</f>
        <v>DEMOLIÇÃO DE PISO DE CONCRETO SIMPLES, DE FORMA MECANIZADA COM MARTELETE, SEM REAPROVEITAMENTO. AF_09/2023</v>
      </c>
      <c r="E40" s="94" t="str">
        <f>'01 - Orçamento Sintético'!E40</f>
        <v>m³</v>
      </c>
      <c r="F40" s="94">
        <f>'01 - Orçamento Sintético'!F40</f>
        <v>54</v>
      </c>
      <c r="G40" s="68">
        <f>INDEX('01 - Orçamento Sintético'!$A$6:$AB$125,MATCH('02 - Planilha de Medição'!$A40,'01 - Orçamento Sintético'!$A$6:$A$125,0),23)</f>
        <v>70.48</v>
      </c>
      <c r="H40" s="68">
        <f>INDEX('01 - Orçamento Sintético'!$A$6:$AB$125,MATCH('02 - Planilha de Medição'!$A40,'01 - Orçamento Sintético'!$A$6:$A$125,0),24)</f>
        <v>86.429999999999993</v>
      </c>
      <c r="I40" s="68">
        <f>INDEX('01 - Orçamento Sintético'!$A$6:$AB$125,MATCH('02 - Planilha de Medição'!$A40,'01 - Orçamento Sintético'!$A$6:$A$125,0),25)</f>
        <v>156.91</v>
      </c>
      <c r="J40" s="68">
        <f>INDEX('01 - Orçamento Sintético'!$A$6:$AB$125,MATCH('02 - Planilha de Medição'!$A40,'01 - Orçamento Sintético'!$A$6:$A$125,0),26)</f>
        <v>3805.92</v>
      </c>
      <c r="K40" s="68">
        <f>INDEX('01 - Orçamento Sintético'!$A$6:$AB$125,MATCH('02 - Planilha de Medição'!$A40,'01 - Orçamento Sintético'!$A$6:$A$125,0),27)</f>
        <v>4667.2199999999993</v>
      </c>
      <c r="L40" s="68">
        <f>INDEX('01 - Orçamento Sintético'!$A$6:$AB$125,MATCH('02 - Planilha de Medição'!$A40,'01 - Orçamento Sintético'!$A$6:$A$125,0),28)</f>
        <v>8473.14</v>
      </c>
      <c r="N40" s="115">
        <f>F40</f>
        <v>54</v>
      </c>
      <c r="O40" s="67">
        <f t="shared" si="14"/>
        <v>2.634593082705802E-3</v>
      </c>
      <c r="P40" s="68">
        <f t="shared" ref="P40" si="132">TRUNC(N40*$I40,2)</f>
        <v>8473.14</v>
      </c>
      <c r="Q40" s="115"/>
      <c r="R40" s="67">
        <f t="shared" si="0"/>
        <v>0</v>
      </c>
      <c r="S40" s="68">
        <f t="shared" ref="S40" si="133">TRUNC(Q40*$I40,2)</f>
        <v>0</v>
      </c>
      <c r="U40" s="115"/>
      <c r="V40" s="67">
        <f t="shared" si="1"/>
        <v>0</v>
      </c>
      <c r="W40" s="68">
        <f t="shared" ref="W40" si="134">TRUNC(U40*$I40,2)</f>
        <v>0</v>
      </c>
      <c r="X40" s="115"/>
      <c r="Y40" s="67">
        <f t="shared" si="2"/>
        <v>0</v>
      </c>
      <c r="Z40" s="68">
        <f t="shared" ref="Z40" si="135">TRUNC(X40*$I40,2)</f>
        <v>0</v>
      </c>
      <c r="AB40" s="115"/>
      <c r="AC40" s="67">
        <f t="shared" si="3"/>
        <v>0</v>
      </c>
      <c r="AD40" s="68">
        <f t="shared" ref="AD40" si="136">TRUNC(AB40*$I40,2)</f>
        <v>0</v>
      </c>
      <c r="AE40" s="115"/>
      <c r="AF40" s="67">
        <f t="shared" si="4"/>
        <v>0</v>
      </c>
      <c r="AG40" s="68">
        <f t="shared" ref="AG40" si="137">TRUNC(AE40*$I40,2)</f>
        <v>0</v>
      </c>
      <c r="AI40" s="115"/>
      <c r="AJ40" s="67">
        <f t="shared" si="5"/>
        <v>0</v>
      </c>
      <c r="AK40" s="68">
        <f t="shared" ref="AK40" si="138">TRUNC(AI40*$I40,2)</f>
        <v>0</v>
      </c>
      <c r="AL40" s="115"/>
      <c r="AM40" s="67">
        <f t="shared" si="6"/>
        <v>0</v>
      </c>
      <c r="AN40" s="68">
        <f t="shared" ref="AN40" si="139">TRUNC(AL40*$I40,2)</f>
        <v>0</v>
      </c>
      <c r="AP40" s="115"/>
      <c r="AQ40" s="67">
        <f t="shared" si="7"/>
        <v>0</v>
      </c>
      <c r="AR40" s="68">
        <f t="shared" ref="AR40" si="140">TRUNC(AP40*$I40,2)</f>
        <v>0</v>
      </c>
      <c r="AS40" s="115"/>
      <c r="AT40" s="67">
        <f t="shared" si="8"/>
        <v>0</v>
      </c>
      <c r="AU40" s="68">
        <f t="shared" ref="AU40" si="141">TRUNC(AS40*$I40,2)</f>
        <v>0</v>
      </c>
      <c r="AW40" s="115"/>
      <c r="AX40" s="67">
        <f t="shared" si="9"/>
        <v>0</v>
      </c>
      <c r="AY40" s="68">
        <f t="shared" ref="AY40" si="142">TRUNC(AW40*$I40,2)</f>
        <v>0</v>
      </c>
      <c r="AZ40" s="115"/>
      <c r="BA40" s="67">
        <f t="shared" si="10"/>
        <v>0</v>
      </c>
      <c r="BB40" s="68">
        <f t="shared" ref="BB40" si="143">TRUNC(AZ40*$I40,2)</f>
        <v>0</v>
      </c>
      <c r="BD40" s="115">
        <f>SUM(Q40,X40,AE40,AL40,AS40,AZ40)</f>
        <v>0</v>
      </c>
      <c r="BE40" s="67">
        <f t="shared" si="11"/>
        <v>0</v>
      </c>
      <c r="BF40" s="68">
        <f>TRUNC(BD40*$I40,2)</f>
        <v>0</v>
      </c>
      <c r="BG40" s="133">
        <f>$F40-BD40</f>
        <v>54</v>
      </c>
      <c r="BH40" s="67">
        <f t="shared" si="12"/>
        <v>2.634593082705802E-3</v>
      </c>
      <c r="BI40" s="68">
        <f>TRUNC(BG40*$I40,2)</f>
        <v>8473.14</v>
      </c>
      <c r="BJ40" s="117"/>
      <c r="BL40" s="92"/>
    </row>
    <row r="41" spans="1:64" x14ac:dyDescent="0.25">
      <c r="A41" s="99" t="str">
        <f>'01 - Orçamento Sintético'!A41</f>
        <v xml:space="preserve"> 2.2.4 </v>
      </c>
      <c r="B41" s="99"/>
      <c r="C41" s="99"/>
      <c r="D41" s="99" t="str">
        <f>'01 - Orçamento Sintético'!D41</f>
        <v>Telhado</v>
      </c>
      <c r="E41" s="99"/>
      <c r="F41" s="93"/>
      <c r="G41" s="69"/>
      <c r="H41" s="69"/>
      <c r="I41" s="69"/>
      <c r="J41" s="69"/>
      <c r="K41" s="69"/>
      <c r="L41" s="70">
        <f>INDEX('01 - Orçamento Sintético'!$A$6:$AB$125,MATCH('02 - Planilha de Medição'!$A41,'01 - Orçamento Sintético'!$A$6:$A$125,0),28)</f>
        <v>8012.2599999999993</v>
      </c>
      <c r="N41" s="116"/>
      <c r="O41" s="120">
        <f t="shared" si="14"/>
        <v>2.4912895069408021E-3</v>
      </c>
      <c r="P41" s="70">
        <f>SUM(P42:P44)</f>
        <v>8012.2599999999993</v>
      </c>
      <c r="Q41" s="116"/>
      <c r="R41" s="120">
        <f t="shared" si="0"/>
        <v>0</v>
      </c>
      <c r="S41" s="70">
        <f>SUM(S42:S44)</f>
        <v>0</v>
      </c>
      <c r="U41" s="116"/>
      <c r="V41" s="120">
        <f t="shared" si="1"/>
        <v>0</v>
      </c>
      <c r="W41" s="70">
        <f>SUM(W42:W44)</f>
        <v>0</v>
      </c>
      <c r="X41" s="116"/>
      <c r="Y41" s="120">
        <f t="shared" si="2"/>
        <v>0</v>
      </c>
      <c r="Z41" s="70">
        <f>SUM(Z42:Z44)</f>
        <v>0</v>
      </c>
      <c r="AB41" s="116"/>
      <c r="AC41" s="120">
        <f t="shared" si="3"/>
        <v>0</v>
      </c>
      <c r="AD41" s="70">
        <f>SUM(AD42:AD44)</f>
        <v>0</v>
      </c>
      <c r="AE41" s="116"/>
      <c r="AF41" s="120">
        <f t="shared" si="4"/>
        <v>0</v>
      </c>
      <c r="AG41" s="70">
        <f>SUM(AG42:AG44)</f>
        <v>0</v>
      </c>
      <c r="AI41" s="116"/>
      <c r="AJ41" s="120">
        <f t="shared" si="5"/>
        <v>0</v>
      </c>
      <c r="AK41" s="70">
        <f>SUM(AK42:AK44)</f>
        <v>0</v>
      </c>
      <c r="AL41" s="116"/>
      <c r="AM41" s="120">
        <f t="shared" si="6"/>
        <v>0</v>
      </c>
      <c r="AN41" s="70">
        <f>SUM(AN42:AN44)</f>
        <v>0</v>
      </c>
      <c r="AP41" s="116"/>
      <c r="AQ41" s="120">
        <f t="shared" si="7"/>
        <v>0</v>
      </c>
      <c r="AR41" s="70">
        <f>SUM(AR42:AR44)</f>
        <v>0</v>
      </c>
      <c r="AS41" s="116"/>
      <c r="AT41" s="120">
        <f t="shared" si="8"/>
        <v>0</v>
      </c>
      <c r="AU41" s="70">
        <f>SUM(AU42:AU44)</f>
        <v>0</v>
      </c>
      <c r="AW41" s="116"/>
      <c r="AX41" s="120">
        <f t="shared" si="9"/>
        <v>0</v>
      </c>
      <c r="AY41" s="70">
        <f>SUM(AY42:AY44)</f>
        <v>0</v>
      </c>
      <c r="AZ41" s="116"/>
      <c r="BA41" s="120">
        <f t="shared" si="10"/>
        <v>0</v>
      </c>
      <c r="BB41" s="70">
        <f>SUM(BB42:BB44)</f>
        <v>0</v>
      </c>
      <c r="BD41" s="116"/>
      <c r="BE41" s="120">
        <f t="shared" si="11"/>
        <v>0</v>
      </c>
      <c r="BF41" s="70">
        <f>SUM(BF42:BF44)</f>
        <v>0</v>
      </c>
      <c r="BG41" s="134"/>
      <c r="BH41" s="120">
        <f t="shared" si="12"/>
        <v>2.4912895069408021E-3</v>
      </c>
      <c r="BI41" s="70">
        <f>SUM(BI42:BI44)</f>
        <v>8012.2599999999993</v>
      </c>
      <c r="BJ41" s="117"/>
      <c r="BL41" s="92"/>
    </row>
    <row r="42" spans="1:64" ht="38.25" x14ac:dyDescent="0.25">
      <c r="A42" s="100" t="str">
        <f>'01 - Orçamento Sintético'!A42</f>
        <v xml:space="preserve"> 2.2.4.1 </v>
      </c>
      <c r="B42" s="101" t="str">
        <f>'01 - Orçamento Sintético'!B42</f>
        <v xml:space="preserve"> 4943 </v>
      </c>
      <c r="C42" s="100" t="str">
        <f>'01 - Orçamento Sintético'!C42</f>
        <v>ORSE</v>
      </c>
      <c r="D42" s="100" t="str">
        <f>'01 - Orçamento Sintético'!D42</f>
        <v>Remoção de telhamento com telhas onduladas fibrocimento ou aluminio</v>
      </c>
      <c r="E42" s="94" t="str">
        <f>'01 - Orçamento Sintético'!E42</f>
        <v>m²</v>
      </c>
      <c r="F42" s="94">
        <f>'01 - Orçamento Sintético'!F42</f>
        <v>292.73</v>
      </c>
      <c r="G42" s="68">
        <f>INDEX('01 - Orçamento Sintético'!$A$6:$AB$125,MATCH('02 - Planilha de Medição'!$A42,'01 - Orçamento Sintético'!$A$6:$A$125,0),23)</f>
        <v>12.68</v>
      </c>
      <c r="H42" s="68">
        <f>INDEX('01 - Orçamento Sintético'!$A$6:$AB$125,MATCH('02 - Planilha de Medição'!$A42,'01 - Orçamento Sintético'!$A$6:$A$125,0),24)</f>
        <v>5.5300000000000011</v>
      </c>
      <c r="I42" s="68">
        <f>INDEX('01 - Orçamento Sintético'!$A$6:$AB$125,MATCH('02 - Planilha de Medição'!$A42,'01 - Orçamento Sintético'!$A$6:$A$125,0),25)</f>
        <v>18.21</v>
      </c>
      <c r="J42" s="68">
        <f>INDEX('01 - Orçamento Sintético'!$A$6:$AB$125,MATCH('02 - Planilha de Medição'!$A42,'01 - Orçamento Sintético'!$A$6:$A$125,0),26)</f>
        <v>3711.81</v>
      </c>
      <c r="K42" s="68">
        <f>INDEX('01 - Orçamento Sintético'!$A$6:$AB$125,MATCH('02 - Planilha de Medição'!$A42,'01 - Orçamento Sintético'!$A$6:$A$125,0),27)</f>
        <v>1618.7999999999997</v>
      </c>
      <c r="L42" s="68">
        <f>INDEX('01 - Orçamento Sintético'!$A$6:$AB$125,MATCH('02 - Planilha de Medição'!$A42,'01 - Orçamento Sintético'!$A$6:$A$125,0),28)</f>
        <v>5330.61</v>
      </c>
      <c r="N42" s="115">
        <f>F42</f>
        <v>292.73</v>
      </c>
      <c r="O42" s="67">
        <f t="shared" si="14"/>
        <v>1.6574715197202425E-3</v>
      </c>
      <c r="P42" s="68">
        <f t="shared" ref="P42:P44" si="144">TRUNC(N42*$I42,2)</f>
        <v>5330.61</v>
      </c>
      <c r="Q42" s="115"/>
      <c r="R42" s="67">
        <f t="shared" si="0"/>
        <v>0</v>
      </c>
      <c r="S42" s="68">
        <f t="shared" ref="S42:S44" si="145">TRUNC(Q42*$I42,2)</f>
        <v>0</v>
      </c>
      <c r="U42" s="115"/>
      <c r="V42" s="67">
        <f t="shared" si="1"/>
        <v>0</v>
      </c>
      <c r="W42" s="68">
        <f t="shared" ref="W42:W44" si="146">TRUNC(U42*$I42,2)</f>
        <v>0</v>
      </c>
      <c r="X42" s="115"/>
      <c r="Y42" s="67">
        <f t="shared" si="2"/>
        <v>0</v>
      </c>
      <c r="Z42" s="68">
        <f t="shared" ref="Z42:Z44" si="147">TRUNC(X42*$I42,2)</f>
        <v>0</v>
      </c>
      <c r="AB42" s="115"/>
      <c r="AC42" s="67">
        <f t="shared" si="3"/>
        <v>0</v>
      </c>
      <c r="AD42" s="68">
        <f t="shared" ref="AD42:AD44" si="148">TRUNC(AB42*$I42,2)</f>
        <v>0</v>
      </c>
      <c r="AE42" s="115"/>
      <c r="AF42" s="67">
        <f t="shared" si="4"/>
        <v>0</v>
      </c>
      <c r="AG42" s="68">
        <f t="shared" ref="AG42:AG44" si="149">TRUNC(AE42*$I42,2)</f>
        <v>0</v>
      </c>
      <c r="AI42" s="115"/>
      <c r="AJ42" s="67">
        <f t="shared" si="5"/>
        <v>0</v>
      </c>
      <c r="AK42" s="68">
        <f t="shared" ref="AK42:AK44" si="150">TRUNC(AI42*$I42,2)</f>
        <v>0</v>
      </c>
      <c r="AL42" s="115"/>
      <c r="AM42" s="67">
        <f t="shared" si="6"/>
        <v>0</v>
      </c>
      <c r="AN42" s="68">
        <f t="shared" ref="AN42:AN44" si="151">TRUNC(AL42*$I42,2)</f>
        <v>0</v>
      </c>
      <c r="AP42" s="115"/>
      <c r="AQ42" s="67">
        <f t="shared" si="7"/>
        <v>0</v>
      </c>
      <c r="AR42" s="68">
        <f t="shared" ref="AR42:AR44" si="152">TRUNC(AP42*$I42,2)</f>
        <v>0</v>
      </c>
      <c r="AS42" s="115"/>
      <c r="AT42" s="67">
        <f t="shared" si="8"/>
        <v>0</v>
      </c>
      <c r="AU42" s="68">
        <f t="shared" ref="AU42:AU44" si="153">TRUNC(AS42*$I42,2)</f>
        <v>0</v>
      </c>
      <c r="AW42" s="115"/>
      <c r="AX42" s="67">
        <f t="shared" si="9"/>
        <v>0</v>
      </c>
      <c r="AY42" s="68">
        <f t="shared" ref="AY42:AY44" si="154">TRUNC(AW42*$I42,2)</f>
        <v>0</v>
      </c>
      <c r="AZ42" s="115"/>
      <c r="BA42" s="67">
        <f t="shared" si="10"/>
        <v>0</v>
      </c>
      <c r="BB42" s="68">
        <f t="shared" ref="BB42:BB44" si="155">TRUNC(AZ42*$I42,2)</f>
        <v>0</v>
      </c>
      <c r="BD42" s="115">
        <f t="shared" ref="BD42:BD44" si="156">SUM(Q42,X42,AE42,AL42,AS42,AZ42)</f>
        <v>0</v>
      </c>
      <c r="BE42" s="67">
        <f t="shared" si="11"/>
        <v>0</v>
      </c>
      <c r="BF42" s="68">
        <f t="shared" ref="BF42:BF44" si="157">TRUNC(BD42*$I42,2)</f>
        <v>0</v>
      </c>
      <c r="BG42" s="133">
        <f t="shared" ref="BG42:BG44" si="158">$F42-BD42</f>
        <v>292.73</v>
      </c>
      <c r="BH42" s="67">
        <f t="shared" si="12"/>
        <v>1.6574715197202425E-3</v>
      </c>
      <c r="BI42" s="68">
        <f t="shared" ref="BI42:BI44" si="159">TRUNC(BG42*$I42,2)</f>
        <v>5330.61</v>
      </c>
      <c r="BJ42" s="117"/>
      <c r="BL42" s="92"/>
    </row>
    <row r="43" spans="1:64" ht="38.25" x14ac:dyDescent="0.25">
      <c r="A43" s="100" t="str">
        <f>'01 - Orçamento Sintético'!A43</f>
        <v xml:space="preserve"> 2.2.4.2 </v>
      </c>
      <c r="B43" s="101" t="str">
        <f>'01 - Orçamento Sintético'!B43</f>
        <v xml:space="preserve"> 7218 </v>
      </c>
      <c r="C43" s="100" t="str">
        <f>'01 - Orçamento Sintético'!C43</f>
        <v>ORSE</v>
      </c>
      <c r="D43" s="100" t="str">
        <f>'01 - Orçamento Sintético'!D43</f>
        <v>Remoção de impermeabilização com manta asfaltica</v>
      </c>
      <c r="E43" s="94" t="str">
        <f>'01 - Orçamento Sintético'!E43</f>
        <v>m²</v>
      </c>
      <c r="F43" s="94">
        <f>'01 - Orçamento Sintético'!F43</f>
        <v>199.4</v>
      </c>
      <c r="G43" s="68">
        <f>INDEX('01 - Orçamento Sintético'!$A$6:$AB$125,MATCH('02 - Planilha de Medição'!$A43,'01 - Orçamento Sintético'!$A$6:$A$125,0),23)</f>
        <v>9.43</v>
      </c>
      <c r="H43" s="68">
        <f>INDEX('01 - Orçamento Sintético'!$A$6:$AB$125,MATCH('02 - Planilha de Medição'!$A43,'01 - Orçamento Sintético'!$A$6:$A$125,0),24)</f>
        <v>4</v>
      </c>
      <c r="I43" s="68">
        <f>INDEX('01 - Orçamento Sintético'!$A$6:$AB$125,MATCH('02 - Planilha de Medição'!$A43,'01 - Orçamento Sintético'!$A$6:$A$125,0),25)</f>
        <v>13.43</v>
      </c>
      <c r="J43" s="68">
        <f>INDEX('01 - Orçamento Sintético'!$A$6:$AB$125,MATCH('02 - Planilha de Medição'!$A43,'01 - Orçamento Sintético'!$A$6:$A$125,0),26)</f>
        <v>1880.34</v>
      </c>
      <c r="K43" s="68">
        <f>INDEX('01 - Orçamento Sintético'!$A$6:$AB$125,MATCH('02 - Planilha de Medição'!$A43,'01 - Orçamento Sintético'!$A$6:$A$125,0),27)</f>
        <v>797.60000000000014</v>
      </c>
      <c r="L43" s="68">
        <f>INDEX('01 - Orçamento Sintético'!$A$6:$AB$125,MATCH('02 - Planilha de Medição'!$A43,'01 - Orçamento Sintético'!$A$6:$A$125,0),28)</f>
        <v>2677.94</v>
      </c>
      <c r="N43" s="115">
        <f>F43</f>
        <v>199.4</v>
      </c>
      <c r="O43" s="67">
        <f t="shared" si="14"/>
        <v>8.3266441955416484E-4</v>
      </c>
      <c r="P43" s="68">
        <f t="shared" si="144"/>
        <v>2677.94</v>
      </c>
      <c r="Q43" s="115"/>
      <c r="R43" s="67">
        <f t="shared" si="0"/>
        <v>0</v>
      </c>
      <c r="S43" s="68">
        <f t="shared" si="145"/>
        <v>0</v>
      </c>
      <c r="U43" s="115"/>
      <c r="V43" s="67">
        <f t="shared" si="1"/>
        <v>0</v>
      </c>
      <c r="W43" s="68">
        <f t="shared" si="146"/>
        <v>0</v>
      </c>
      <c r="X43" s="115"/>
      <c r="Y43" s="67">
        <f t="shared" si="2"/>
        <v>0</v>
      </c>
      <c r="Z43" s="68">
        <f t="shared" si="147"/>
        <v>0</v>
      </c>
      <c r="AB43" s="115"/>
      <c r="AC43" s="67">
        <f t="shared" si="3"/>
        <v>0</v>
      </c>
      <c r="AD43" s="68">
        <f t="shared" si="148"/>
        <v>0</v>
      </c>
      <c r="AE43" s="115"/>
      <c r="AF43" s="67">
        <f t="shared" si="4"/>
        <v>0</v>
      </c>
      <c r="AG43" s="68">
        <f t="shared" si="149"/>
        <v>0</v>
      </c>
      <c r="AI43" s="115"/>
      <c r="AJ43" s="67">
        <f t="shared" si="5"/>
        <v>0</v>
      </c>
      <c r="AK43" s="68">
        <f t="shared" si="150"/>
        <v>0</v>
      </c>
      <c r="AL43" s="115"/>
      <c r="AM43" s="67">
        <f t="shared" si="6"/>
        <v>0</v>
      </c>
      <c r="AN43" s="68">
        <f t="shared" si="151"/>
        <v>0</v>
      </c>
      <c r="AP43" s="115"/>
      <c r="AQ43" s="67">
        <f t="shared" si="7"/>
        <v>0</v>
      </c>
      <c r="AR43" s="68">
        <f t="shared" si="152"/>
        <v>0</v>
      </c>
      <c r="AS43" s="115"/>
      <c r="AT43" s="67">
        <f t="shared" si="8"/>
        <v>0</v>
      </c>
      <c r="AU43" s="68">
        <f t="shared" si="153"/>
        <v>0</v>
      </c>
      <c r="AW43" s="115"/>
      <c r="AX43" s="67">
        <f t="shared" si="9"/>
        <v>0</v>
      </c>
      <c r="AY43" s="68">
        <f t="shared" si="154"/>
        <v>0</v>
      </c>
      <c r="AZ43" s="115"/>
      <c r="BA43" s="67">
        <f t="shared" si="10"/>
        <v>0</v>
      </c>
      <c r="BB43" s="68">
        <f t="shared" si="155"/>
        <v>0</v>
      </c>
      <c r="BD43" s="115">
        <f t="shared" si="156"/>
        <v>0</v>
      </c>
      <c r="BE43" s="67">
        <f t="shared" si="11"/>
        <v>0</v>
      </c>
      <c r="BF43" s="68">
        <f t="shared" si="157"/>
        <v>0</v>
      </c>
      <c r="BG43" s="133">
        <f t="shared" si="158"/>
        <v>199.4</v>
      </c>
      <c r="BH43" s="67">
        <f t="shared" si="12"/>
        <v>8.3266441955416484E-4</v>
      </c>
      <c r="BI43" s="68">
        <f t="shared" si="159"/>
        <v>2677.94</v>
      </c>
      <c r="BJ43" s="117"/>
      <c r="BL43" s="92"/>
    </row>
    <row r="44" spans="1:64" ht="89.25" x14ac:dyDescent="0.25">
      <c r="A44" s="100" t="str">
        <f>'01 - Orçamento Sintético'!A44</f>
        <v xml:space="preserve"> 2.2.4.3 </v>
      </c>
      <c r="B44" s="101" t="str">
        <f>'01 - Orçamento Sintético'!B44</f>
        <v xml:space="preserve"> 97625 </v>
      </c>
      <c r="C44" s="100" t="str">
        <f>'01 - Orçamento Sintético'!C44</f>
        <v>SINAPI</v>
      </c>
      <c r="D44" s="100" t="str">
        <f>'01 - Orçamento Sintético'!D44</f>
        <v>DEMOLIÇÃO DE ALVENARIA PARA QUALQUER TIPO DE BLOCO, DE FORMA MECANIZADA, SEM REAPROVEITAMENTO. AF_09/2023</v>
      </c>
      <c r="E44" s="94" t="str">
        <f>'01 - Orçamento Sintético'!E44</f>
        <v>m³</v>
      </c>
      <c r="F44" s="94">
        <f>'01 - Orçamento Sintético'!F44</f>
        <v>5.0999999999999997E-2</v>
      </c>
      <c r="G44" s="68">
        <f>INDEX('01 - Orçamento Sintético'!$A$6:$AB$125,MATCH('02 - Planilha de Medição'!$A44,'01 - Orçamento Sintético'!$A$6:$A$125,0),23)</f>
        <v>12.13</v>
      </c>
      <c r="H44" s="68">
        <f>INDEX('01 - Orçamento Sintético'!$A$6:$AB$125,MATCH('02 - Planilha de Medição'!$A44,'01 - Orçamento Sintético'!$A$6:$A$125,0),24)</f>
        <v>60.77</v>
      </c>
      <c r="I44" s="68">
        <f>INDEX('01 - Orçamento Sintético'!$A$6:$AB$125,MATCH('02 - Planilha de Medição'!$A44,'01 - Orçamento Sintético'!$A$6:$A$125,0),25)</f>
        <v>72.900000000000006</v>
      </c>
      <c r="J44" s="68">
        <f>INDEX('01 - Orçamento Sintético'!$A$6:$AB$125,MATCH('02 - Planilha de Medição'!$A44,'01 - Orçamento Sintético'!$A$6:$A$125,0),26)</f>
        <v>0.61</v>
      </c>
      <c r="K44" s="68">
        <f>INDEX('01 - Orçamento Sintético'!$A$6:$AB$125,MATCH('02 - Planilha de Medição'!$A44,'01 - Orçamento Sintético'!$A$6:$A$125,0),27)</f>
        <v>3.1</v>
      </c>
      <c r="L44" s="68">
        <f>INDEX('01 - Orçamento Sintético'!$A$6:$AB$125,MATCH('02 - Planilha de Medição'!$A44,'01 - Orçamento Sintético'!$A$6:$A$125,0),28)</f>
        <v>3.71</v>
      </c>
      <c r="N44" s="115">
        <f>F44</f>
        <v>5.0999999999999997E-2</v>
      </c>
      <c r="O44" s="67">
        <f t="shared" si="14"/>
        <v>1.1535676663950467E-6</v>
      </c>
      <c r="P44" s="68">
        <f t="shared" si="144"/>
        <v>3.71</v>
      </c>
      <c r="Q44" s="115"/>
      <c r="R44" s="67">
        <f t="shared" si="0"/>
        <v>0</v>
      </c>
      <c r="S44" s="68">
        <f t="shared" si="145"/>
        <v>0</v>
      </c>
      <c r="U44" s="115"/>
      <c r="V44" s="67">
        <f t="shared" si="1"/>
        <v>0</v>
      </c>
      <c r="W44" s="68">
        <f t="shared" si="146"/>
        <v>0</v>
      </c>
      <c r="X44" s="115"/>
      <c r="Y44" s="67">
        <f t="shared" si="2"/>
        <v>0</v>
      </c>
      <c r="Z44" s="68">
        <f t="shared" si="147"/>
        <v>0</v>
      </c>
      <c r="AB44" s="115"/>
      <c r="AC44" s="67">
        <f t="shared" si="3"/>
        <v>0</v>
      </c>
      <c r="AD44" s="68">
        <f t="shared" si="148"/>
        <v>0</v>
      </c>
      <c r="AE44" s="115"/>
      <c r="AF44" s="67">
        <f t="shared" si="4"/>
        <v>0</v>
      </c>
      <c r="AG44" s="68">
        <f t="shared" si="149"/>
        <v>0</v>
      </c>
      <c r="AI44" s="115"/>
      <c r="AJ44" s="67">
        <f t="shared" si="5"/>
        <v>0</v>
      </c>
      <c r="AK44" s="68">
        <f t="shared" si="150"/>
        <v>0</v>
      </c>
      <c r="AL44" s="115"/>
      <c r="AM44" s="67">
        <f t="shared" si="6"/>
        <v>0</v>
      </c>
      <c r="AN44" s="68">
        <f t="shared" si="151"/>
        <v>0</v>
      </c>
      <c r="AP44" s="115"/>
      <c r="AQ44" s="67">
        <f t="shared" si="7"/>
        <v>0</v>
      </c>
      <c r="AR44" s="68">
        <f t="shared" si="152"/>
        <v>0</v>
      </c>
      <c r="AS44" s="115"/>
      <c r="AT44" s="67">
        <f t="shared" si="8"/>
        <v>0</v>
      </c>
      <c r="AU44" s="68">
        <f t="shared" si="153"/>
        <v>0</v>
      </c>
      <c r="AW44" s="115"/>
      <c r="AX44" s="67">
        <f t="shared" si="9"/>
        <v>0</v>
      </c>
      <c r="AY44" s="68">
        <f t="shared" si="154"/>
        <v>0</v>
      </c>
      <c r="AZ44" s="115"/>
      <c r="BA44" s="67">
        <f t="shared" si="10"/>
        <v>0</v>
      </c>
      <c r="BB44" s="68">
        <f t="shared" si="155"/>
        <v>0</v>
      </c>
      <c r="BD44" s="115">
        <f t="shared" si="156"/>
        <v>0</v>
      </c>
      <c r="BE44" s="67">
        <f t="shared" si="11"/>
        <v>0</v>
      </c>
      <c r="BF44" s="68">
        <f t="shared" si="157"/>
        <v>0</v>
      </c>
      <c r="BG44" s="133">
        <f t="shared" si="158"/>
        <v>5.0999999999999997E-2</v>
      </c>
      <c r="BH44" s="67">
        <f t="shared" si="12"/>
        <v>1.1535676663950467E-6</v>
      </c>
      <c r="BI44" s="68">
        <f t="shared" si="159"/>
        <v>3.71</v>
      </c>
      <c r="BJ44" s="117"/>
      <c r="BL44" s="92"/>
    </row>
    <row r="45" spans="1:64" x14ac:dyDescent="0.25">
      <c r="A45" s="99" t="str">
        <f>'01 - Orçamento Sintético'!A45</f>
        <v xml:space="preserve"> 3 </v>
      </c>
      <c r="B45" s="99"/>
      <c r="C45" s="99"/>
      <c r="D45" s="99" t="str">
        <f>'01 - Orçamento Sintético'!D45</f>
        <v>Instalações e Serviços</v>
      </c>
      <c r="E45" s="99"/>
      <c r="F45" s="93"/>
      <c r="G45" s="69"/>
      <c r="H45" s="69"/>
      <c r="I45" s="69"/>
      <c r="J45" s="69"/>
      <c r="K45" s="69"/>
      <c r="L45" s="70">
        <f>INDEX('01 - Orçamento Sintético'!$A$6:$AB$125,MATCH('02 - Planilha de Medição'!$A45,'01 - Orçamento Sintético'!$A$6:$A$125,0),28)</f>
        <v>2831974.63</v>
      </c>
      <c r="N45" s="116"/>
      <c r="O45" s="120">
        <f t="shared" si="14"/>
        <v>0.10635471634865575</v>
      </c>
      <c r="P45" s="70">
        <f>SUM(P46,P82,P119)</f>
        <v>342048.42</v>
      </c>
      <c r="Q45" s="116"/>
      <c r="R45" s="120">
        <f t="shared" si="0"/>
        <v>0</v>
      </c>
      <c r="S45" s="70">
        <f>SUM(S46,S82,S119)</f>
        <v>0</v>
      </c>
      <c r="U45" s="116"/>
      <c r="V45" s="120">
        <f t="shared" si="1"/>
        <v>7.9979361772737623E-2</v>
      </c>
      <c r="W45" s="70">
        <f>SUM(W46,W82,W119)</f>
        <v>257222.38999999998</v>
      </c>
      <c r="X45" s="116"/>
      <c r="Y45" s="120">
        <f t="shared" si="2"/>
        <v>0</v>
      </c>
      <c r="Z45" s="70">
        <f>SUM(Z46,Z82,Z119)</f>
        <v>0</v>
      </c>
      <c r="AB45" s="116"/>
      <c r="AC45" s="120">
        <f t="shared" si="3"/>
        <v>0.13015159222374253</v>
      </c>
      <c r="AD45" s="70">
        <f>SUM(AD46,AD82,AD119)</f>
        <v>418581.77999999997</v>
      </c>
      <c r="AE45" s="116"/>
      <c r="AF45" s="120">
        <f t="shared" si="4"/>
        <v>0</v>
      </c>
      <c r="AG45" s="70">
        <f>SUM(AG46,AG82,AG119)</f>
        <v>0</v>
      </c>
      <c r="AI45" s="116"/>
      <c r="AJ45" s="120">
        <f t="shared" si="5"/>
        <v>0.16646373514713225</v>
      </c>
      <c r="AK45" s="70">
        <f>SUM(AK46,AK82,AK119)</f>
        <v>535365.61</v>
      </c>
      <c r="AL45" s="116"/>
      <c r="AM45" s="120">
        <f t="shared" si="6"/>
        <v>0</v>
      </c>
      <c r="AN45" s="70">
        <f>SUM(AN46,AN82,AN119)</f>
        <v>0</v>
      </c>
      <c r="AP45" s="116"/>
      <c r="AQ45" s="120">
        <f t="shared" si="7"/>
        <v>0.18203733706136557</v>
      </c>
      <c r="AR45" s="70">
        <f>SUM(AR46,AR82,AR119)</f>
        <v>585452.02</v>
      </c>
      <c r="AS45" s="116"/>
      <c r="AT45" s="120">
        <f t="shared" si="8"/>
        <v>0</v>
      </c>
      <c r="AU45" s="70">
        <f>SUM(AU46,AU82,AU119)</f>
        <v>0</v>
      </c>
      <c r="AW45" s="116"/>
      <c r="AX45" s="120">
        <f t="shared" si="9"/>
        <v>0.21557238553776137</v>
      </c>
      <c r="AY45" s="70">
        <f>SUM(AY46,AY82,AY119)</f>
        <v>693304.41</v>
      </c>
      <c r="AZ45" s="116"/>
      <c r="BA45" s="120">
        <f t="shared" si="10"/>
        <v>0</v>
      </c>
      <c r="BB45" s="70">
        <f>SUM(BB46,BB82,BB119)</f>
        <v>0</v>
      </c>
      <c r="BD45" s="116"/>
      <c r="BE45" s="120">
        <f t="shared" si="11"/>
        <v>0</v>
      </c>
      <c r="BF45" s="70">
        <f>SUM(BF46,BF82,BF119)</f>
        <v>0</v>
      </c>
      <c r="BG45" s="134"/>
      <c r="BH45" s="120">
        <f t="shared" si="12"/>
        <v>0.88055912809139503</v>
      </c>
      <c r="BI45" s="70">
        <f>SUM(BI46,BI82,BI119)</f>
        <v>2831974.63</v>
      </c>
      <c r="BJ45" s="117"/>
      <c r="BL45" s="92"/>
    </row>
    <row r="46" spans="1:64" x14ac:dyDescent="0.25">
      <c r="A46" s="99" t="str">
        <f>'01 - Orçamento Sintético'!A46</f>
        <v xml:space="preserve"> 3.1 </v>
      </c>
      <c r="B46" s="99"/>
      <c r="C46" s="99"/>
      <c r="D46" s="99" t="str">
        <f>'01 - Orçamento Sintético'!D46</f>
        <v>Interno</v>
      </c>
      <c r="E46" s="99"/>
      <c r="F46" s="93"/>
      <c r="G46" s="69"/>
      <c r="H46" s="69"/>
      <c r="I46" s="69"/>
      <c r="J46" s="69"/>
      <c r="K46" s="69"/>
      <c r="L46" s="70">
        <f>INDEX('01 - Orçamento Sintético'!$A$6:$AB$125,MATCH('02 - Planilha de Medição'!$A46,'01 - Orçamento Sintético'!$A$6:$A$125,0),28)</f>
        <v>2166482.9499999997</v>
      </c>
      <c r="N46" s="116"/>
      <c r="O46" s="120">
        <f t="shared" si="14"/>
        <v>0</v>
      </c>
      <c r="P46" s="70">
        <f>SUM(P47,P56,P62,P69)</f>
        <v>0</v>
      </c>
      <c r="Q46" s="116"/>
      <c r="R46" s="120">
        <f t="shared" si="0"/>
        <v>0</v>
      </c>
      <c r="S46" s="70">
        <f>SUM(S47,S56,S62,S69)</f>
        <v>0</v>
      </c>
      <c r="U46" s="116"/>
      <c r="V46" s="120">
        <f t="shared" si="1"/>
        <v>0</v>
      </c>
      <c r="W46" s="70">
        <f>SUM(W47,W56,W62,W69)</f>
        <v>0</v>
      </c>
      <c r="X46" s="116"/>
      <c r="Y46" s="120">
        <f t="shared" si="2"/>
        <v>0</v>
      </c>
      <c r="Z46" s="70">
        <f>SUM(Z47,Z56,Z62,Z69)</f>
        <v>0</v>
      </c>
      <c r="AB46" s="116"/>
      <c r="AC46" s="120">
        <f t="shared" si="3"/>
        <v>0.13015159222374253</v>
      </c>
      <c r="AD46" s="70">
        <f>SUM(AD47,AD56,AD62,AD69)</f>
        <v>418581.77999999997</v>
      </c>
      <c r="AE46" s="116"/>
      <c r="AF46" s="120">
        <f t="shared" si="4"/>
        <v>0</v>
      </c>
      <c r="AG46" s="70">
        <f>SUM(AG47,AG56,AG62,AG69)</f>
        <v>0</v>
      </c>
      <c r="AI46" s="116"/>
      <c r="AJ46" s="120">
        <f t="shared" si="5"/>
        <v>0.15636284480308563</v>
      </c>
      <c r="AK46" s="70">
        <f>SUM(AK47,AK56,AK62,AK69)</f>
        <v>502880.04</v>
      </c>
      <c r="AL46" s="116"/>
      <c r="AM46" s="120">
        <f t="shared" si="6"/>
        <v>0</v>
      </c>
      <c r="AN46" s="70">
        <f>SUM(AN47,AN56,AN62,AN69)</f>
        <v>0</v>
      </c>
      <c r="AP46" s="116"/>
      <c r="AQ46" s="120">
        <f t="shared" si="7"/>
        <v>0.18203733706136557</v>
      </c>
      <c r="AR46" s="70">
        <f>SUM(AR47,AR56,AR62,AR69)</f>
        <v>585452.02</v>
      </c>
      <c r="AS46" s="116"/>
      <c r="AT46" s="120">
        <f t="shared" si="8"/>
        <v>0</v>
      </c>
      <c r="AU46" s="70">
        <f>SUM(AU47,AU56,AU62,AU69)</f>
        <v>0</v>
      </c>
      <c r="AW46" s="116"/>
      <c r="AX46" s="120">
        <f t="shared" si="9"/>
        <v>0.20508291079486735</v>
      </c>
      <c r="AY46" s="70">
        <f>SUM(AY47,AY56,AY62,AY69)</f>
        <v>659569.11</v>
      </c>
      <c r="AZ46" s="116"/>
      <c r="BA46" s="120">
        <f t="shared" si="10"/>
        <v>0</v>
      </c>
      <c r="BB46" s="70">
        <f>SUM(BB47,BB56,BB62,BB69)</f>
        <v>0</v>
      </c>
      <c r="BD46" s="116"/>
      <c r="BE46" s="120">
        <f t="shared" si="11"/>
        <v>0</v>
      </c>
      <c r="BF46" s="70">
        <f>SUM(BF47,BF56,BF62,BF69)</f>
        <v>0</v>
      </c>
      <c r="BG46" s="134"/>
      <c r="BH46" s="120">
        <f t="shared" si="12"/>
        <v>0.673634684883061</v>
      </c>
      <c r="BI46" s="70">
        <f>SUM(BI47,BI56,BI62,BI69)</f>
        <v>2166482.9499999997</v>
      </c>
      <c r="BJ46" s="117"/>
      <c r="BL46" s="92"/>
    </row>
    <row r="47" spans="1:64" ht="25.5" x14ac:dyDescent="0.25">
      <c r="A47" s="99" t="str">
        <f>'01 - Orçamento Sintético'!A47</f>
        <v xml:space="preserve"> 3.1.1 </v>
      </c>
      <c r="B47" s="99"/>
      <c r="C47" s="99"/>
      <c r="D47" s="99" t="str">
        <f>'01 - Orçamento Sintético'!D47</f>
        <v>Revestimentos Horizontais</v>
      </c>
      <c r="E47" s="99"/>
      <c r="F47" s="93"/>
      <c r="G47" s="69"/>
      <c r="H47" s="69"/>
      <c r="I47" s="69"/>
      <c r="J47" s="69"/>
      <c r="K47" s="69"/>
      <c r="L47" s="70">
        <f>INDEX('01 - Orçamento Sintético'!$A$6:$AB$125,MATCH('02 - Planilha de Medição'!$A47,'01 - Orçamento Sintético'!$A$6:$A$125,0),28)</f>
        <v>1416088.51</v>
      </c>
      <c r="N47" s="116"/>
      <c r="O47" s="120">
        <f t="shared" si="14"/>
        <v>0</v>
      </c>
      <c r="P47" s="70">
        <f>SUM(P48:P55)</f>
        <v>0</v>
      </c>
      <c r="Q47" s="116"/>
      <c r="R47" s="120">
        <f t="shared" si="0"/>
        <v>0</v>
      </c>
      <c r="S47" s="70">
        <f>SUM(S48:S55)</f>
        <v>0</v>
      </c>
      <c r="U47" s="116"/>
      <c r="V47" s="120">
        <f t="shared" si="1"/>
        <v>0</v>
      </c>
      <c r="W47" s="70">
        <f>SUM(W48:W55)</f>
        <v>0</v>
      </c>
      <c r="X47" s="116"/>
      <c r="Y47" s="120">
        <f t="shared" si="2"/>
        <v>0</v>
      </c>
      <c r="Z47" s="70">
        <f>SUM(Z48:Z55)</f>
        <v>0</v>
      </c>
      <c r="AB47" s="116"/>
      <c r="AC47" s="120">
        <f t="shared" si="3"/>
        <v>8.2803659213649447E-2</v>
      </c>
      <c r="AD47" s="70">
        <f>SUM(AD48:AD55)</f>
        <v>266305.64</v>
      </c>
      <c r="AE47" s="116"/>
      <c r="AF47" s="120">
        <f t="shared" si="4"/>
        <v>0</v>
      </c>
      <c r="AG47" s="70">
        <f>SUM(AG48:AG55)</f>
        <v>0</v>
      </c>
      <c r="AI47" s="116"/>
      <c r="AJ47" s="120">
        <f t="shared" si="5"/>
        <v>0.10901491179299255</v>
      </c>
      <c r="AK47" s="70">
        <f>SUM(AK48:AK55)</f>
        <v>350603.9</v>
      </c>
      <c r="AL47" s="116"/>
      <c r="AM47" s="120">
        <f t="shared" si="6"/>
        <v>0</v>
      </c>
      <c r="AN47" s="70">
        <f>SUM(AN48:AN55)</f>
        <v>0</v>
      </c>
      <c r="AP47" s="116"/>
      <c r="AQ47" s="120">
        <f t="shared" si="7"/>
        <v>0.12859703386472943</v>
      </c>
      <c r="AR47" s="70">
        <f>SUM(AR48:AR55)</f>
        <v>413582.15</v>
      </c>
      <c r="AS47" s="116"/>
      <c r="AT47" s="120">
        <f t="shared" si="8"/>
        <v>0</v>
      </c>
      <c r="AU47" s="70">
        <f>SUM(AU48:AU55)</f>
        <v>0</v>
      </c>
      <c r="AW47" s="116"/>
      <c r="AX47" s="120">
        <f t="shared" si="9"/>
        <v>0.1198954242093668</v>
      </c>
      <c r="AY47" s="70">
        <f>SUM(AY48:AY55)</f>
        <v>385596.81999999995</v>
      </c>
      <c r="AZ47" s="116"/>
      <c r="BA47" s="120">
        <f t="shared" si="10"/>
        <v>0</v>
      </c>
      <c r="BB47" s="70">
        <f>SUM(BB48:BB55)</f>
        <v>0</v>
      </c>
      <c r="BD47" s="116"/>
      <c r="BE47" s="120">
        <f t="shared" si="11"/>
        <v>0</v>
      </c>
      <c r="BF47" s="70">
        <f>SUM(BF48:BF55)</f>
        <v>0</v>
      </c>
      <c r="BG47" s="134"/>
      <c r="BH47" s="120">
        <f t="shared" si="12"/>
        <v>0.44031102908073821</v>
      </c>
      <c r="BI47" s="70">
        <f>SUM(BI48:BI55)</f>
        <v>1416088.51</v>
      </c>
      <c r="BJ47" s="117"/>
      <c r="BL47" s="92"/>
    </row>
    <row r="48" spans="1:64" ht="140.25" x14ac:dyDescent="0.25">
      <c r="A48" s="100" t="str">
        <f>'01 - Orçamento Sintético'!A48</f>
        <v xml:space="preserve"> 3.1.1.1 </v>
      </c>
      <c r="B48" s="101" t="str">
        <f>'01 - Orçamento Sintético'!B48</f>
        <v xml:space="preserve"> 12442 </v>
      </c>
      <c r="C48" s="100" t="str">
        <f>'01 - Orçamento Sintético'!C48</f>
        <v>ORSE</v>
      </c>
      <c r="D48" s="100" t="str">
        <f>'01 - Orçamento Sintético'!D48</f>
        <v>Revestimento cerâmico para piso ou parede, 90 x 90 cm, porcelanato, esmaltado, polido, linha munari cimento, Eliane ou similar, aplicado com argamassa industrializada ac-iii, rejuntado, exclusive regularização de base ou emboço - Rev -  03</v>
      </c>
      <c r="E48" s="94" t="str">
        <f>'01 - Orçamento Sintético'!E48</f>
        <v>m²</v>
      </c>
      <c r="F48" s="94">
        <f>'01 - Orçamento Sintético'!F48</f>
        <v>3666.51</v>
      </c>
      <c r="G48" s="68">
        <f>INDEX('01 - Orçamento Sintético'!$A$6:$AB$125,MATCH('02 - Planilha de Medição'!$A48,'01 - Orçamento Sintético'!$A$6:$A$125,0),23)</f>
        <v>29.58</v>
      </c>
      <c r="H48" s="68">
        <f>INDEX('01 - Orçamento Sintético'!$A$6:$AB$125,MATCH('02 - Planilha de Medição'!$A48,'01 - Orçamento Sintético'!$A$6:$A$125,0),24)</f>
        <v>257.29000000000002</v>
      </c>
      <c r="I48" s="68">
        <f>INDEX('01 - Orçamento Sintético'!$A$6:$AB$125,MATCH('02 - Planilha de Medição'!$A48,'01 - Orçamento Sintético'!$A$6:$A$125,0),25)</f>
        <v>286.87</v>
      </c>
      <c r="J48" s="68">
        <f>INDEX('01 - Orçamento Sintético'!$A$6:$AB$125,MATCH('02 - Planilha de Medição'!$A48,'01 - Orçamento Sintético'!$A$6:$A$125,0),26)</f>
        <v>108455.36</v>
      </c>
      <c r="K48" s="68">
        <f>INDEX('01 - Orçamento Sintético'!$A$6:$AB$125,MATCH('02 - Planilha de Medição'!$A48,'01 - Orçamento Sintético'!$A$6:$A$125,0),27)</f>
        <v>943356.36</v>
      </c>
      <c r="L48" s="68">
        <f>INDEX('01 - Orçamento Sintético'!$A$6:$AB$125,MATCH('02 - Planilha de Medição'!$A48,'01 - Orçamento Sintético'!$A$6:$A$125,0),28)</f>
        <v>1051811.72</v>
      </c>
      <c r="N48" s="115"/>
      <c r="O48" s="67">
        <f t="shared" si="14"/>
        <v>0</v>
      </c>
      <c r="P48" s="68">
        <f t="shared" ref="P48:P55" si="160">TRUNC(N48*$I48,2)</f>
        <v>0</v>
      </c>
      <c r="Q48" s="115"/>
      <c r="R48" s="67">
        <f t="shared" si="0"/>
        <v>0</v>
      </c>
      <c r="S48" s="68">
        <f t="shared" ref="S48:S55" si="161">TRUNC(Q48*$I48,2)</f>
        <v>0</v>
      </c>
      <c r="U48" s="115"/>
      <c r="V48" s="67">
        <f t="shared" si="1"/>
        <v>0</v>
      </c>
      <c r="W48" s="68">
        <f t="shared" ref="W48:W55" si="162">TRUNC(U48*$I48,2)</f>
        <v>0</v>
      </c>
      <c r="X48" s="115"/>
      <c r="Y48" s="67">
        <f t="shared" si="2"/>
        <v>0</v>
      </c>
      <c r="Z48" s="68">
        <f t="shared" ref="Z48:Z55" si="163">TRUNC(X48*$I48,2)</f>
        <v>0</v>
      </c>
      <c r="AB48" s="115"/>
      <c r="AC48" s="67">
        <f t="shared" si="3"/>
        <v>0</v>
      </c>
      <c r="AD48" s="68">
        <f t="shared" ref="AD48:AD55" si="164">TRUNC(AB48*$I48,2)</f>
        <v>0</v>
      </c>
      <c r="AE48" s="115"/>
      <c r="AF48" s="67">
        <f t="shared" si="4"/>
        <v>0</v>
      </c>
      <c r="AG48" s="68">
        <f t="shared" ref="AG48:AG55" si="165">TRUNC(AE48*$I48,2)</f>
        <v>0</v>
      </c>
      <c r="AI48" s="115">
        <f>TRUNC($F48/3,2)</f>
        <v>1222.17</v>
      </c>
      <c r="AJ48" s="67">
        <f t="shared" si="5"/>
        <v>0.10901491179299255</v>
      </c>
      <c r="AK48" s="68">
        <f t="shared" ref="AK48:AK55" si="166">TRUNC(AI48*$I48,2)</f>
        <v>350603.9</v>
      </c>
      <c r="AL48" s="115"/>
      <c r="AM48" s="67">
        <f t="shared" si="6"/>
        <v>0</v>
      </c>
      <c r="AN48" s="68">
        <f t="shared" ref="AN48:AN55" si="167">TRUNC(AL48*$I48,2)</f>
        <v>0</v>
      </c>
      <c r="AP48" s="115">
        <f>TRUNC($F48/3,2)</f>
        <v>1222.17</v>
      </c>
      <c r="AQ48" s="67">
        <f t="shared" si="7"/>
        <v>0.10901491179299255</v>
      </c>
      <c r="AR48" s="68">
        <f t="shared" ref="AR48:AR55" si="168">TRUNC(AP48*$I48,2)</f>
        <v>350603.9</v>
      </c>
      <c r="AS48" s="115"/>
      <c r="AT48" s="67">
        <f t="shared" si="8"/>
        <v>0</v>
      </c>
      <c r="AU48" s="68">
        <f t="shared" ref="AU48:AU55" si="169">TRUNC(AS48*$I48,2)</f>
        <v>0</v>
      </c>
      <c r="AW48" s="115">
        <f>F48-SUM(AI48,AP48)</f>
        <v>1222.17</v>
      </c>
      <c r="AX48" s="67">
        <f t="shared" si="9"/>
        <v>0.10901491801168614</v>
      </c>
      <c r="AY48" s="68">
        <f>L48-SUM(AR48,AK48)</f>
        <v>350603.91999999993</v>
      </c>
      <c r="AZ48" s="115"/>
      <c r="BA48" s="67">
        <f t="shared" si="10"/>
        <v>0</v>
      </c>
      <c r="BB48" s="68">
        <f t="shared" ref="BB48:BB55" si="170">TRUNC(AZ48*$I48,2)</f>
        <v>0</v>
      </c>
      <c r="BD48" s="115">
        <f t="shared" ref="BD48:BD55" si="171">SUM(Q48,X48,AE48,AL48,AS48,AZ48)</f>
        <v>0</v>
      </c>
      <c r="BE48" s="67">
        <f t="shared" si="11"/>
        <v>0</v>
      </c>
      <c r="BF48" s="68">
        <f t="shared" ref="BF48:BF55" si="172">TRUNC(BD48*$I48,2)</f>
        <v>0</v>
      </c>
      <c r="BG48" s="133">
        <f t="shared" ref="BG48:BG55" si="173">$F48-BD48</f>
        <v>3666.51</v>
      </c>
      <c r="BH48" s="67">
        <f t="shared" si="12"/>
        <v>0.32704474159767122</v>
      </c>
      <c r="BI48" s="68">
        <f t="shared" ref="BI48:BI55" si="174">TRUNC(BG48*$I48,2)</f>
        <v>1051811.72</v>
      </c>
      <c r="BJ48" s="117"/>
      <c r="BL48" s="92"/>
    </row>
    <row r="49" spans="1:64" ht="102" x14ac:dyDescent="0.25">
      <c r="A49" s="100" t="str">
        <f>'01 - Orçamento Sintético'!A49</f>
        <v xml:space="preserve"> 3.1.1.2 </v>
      </c>
      <c r="B49" s="101" t="str">
        <f>'01 - Orçamento Sintético'!B49</f>
        <v xml:space="preserve"> Forum </v>
      </c>
      <c r="C49" s="100" t="str">
        <f>'01 - Orçamento Sintético'!C49</f>
        <v>Próprio</v>
      </c>
      <c r="D49" s="100" t="str">
        <f>'01 - Orçamento Sintético'!D49</f>
        <v>Rodapé em porcelanato  dimensões 90x90 polido, linha munari cimento, Eliane ou similar, aplicado com argamassa industrializada ac-iii, rejuntado</v>
      </c>
      <c r="E49" s="94" t="str">
        <f>'01 - Orçamento Sintético'!E49</f>
        <v>M</v>
      </c>
      <c r="F49" s="94">
        <f>'01 - Orçamento Sintético'!F49</f>
        <v>2216.56</v>
      </c>
      <c r="G49" s="68">
        <f>INDEX('01 - Orçamento Sintético'!$A$6:$AB$125,MATCH('02 - Planilha de Medição'!$A49,'01 - Orçamento Sintético'!$A$6:$A$125,0),23)</f>
        <v>3.71</v>
      </c>
      <c r="H49" s="68">
        <f>INDEX('01 - Orçamento Sintético'!$A$6:$AB$125,MATCH('02 - Planilha de Medição'!$A49,'01 - Orçamento Sintético'!$A$6:$A$125,0),24)</f>
        <v>71.240000000000009</v>
      </c>
      <c r="I49" s="68">
        <f>INDEX('01 - Orçamento Sintético'!$A$6:$AB$125,MATCH('02 - Planilha de Medição'!$A49,'01 - Orçamento Sintético'!$A$6:$A$125,0),25)</f>
        <v>74.95</v>
      </c>
      <c r="J49" s="68">
        <f>INDEX('01 - Orçamento Sintético'!$A$6:$AB$125,MATCH('02 - Planilha de Medição'!$A49,'01 - Orçamento Sintético'!$A$6:$A$125,0),26)</f>
        <v>8223.43</v>
      </c>
      <c r="K49" s="68">
        <f>INDEX('01 - Orçamento Sintético'!$A$6:$AB$125,MATCH('02 - Planilha de Medição'!$A49,'01 - Orçamento Sintético'!$A$6:$A$125,0),27)</f>
        <v>157907.74000000002</v>
      </c>
      <c r="L49" s="68">
        <f>INDEX('01 - Orçamento Sintético'!$A$6:$AB$125,MATCH('02 - Planilha de Medição'!$A49,'01 - Orçamento Sintético'!$A$6:$A$125,0),28)</f>
        <v>166131.17000000001</v>
      </c>
      <c r="N49" s="115"/>
      <c r="O49" s="67">
        <f t="shared" si="14"/>
        <v>0</v>
      </c>
      <c r="P49" s="68">
        <f t="shared" si="160"/>
        <v>0</v>
      </c>
      <c r="Q49" s="115"/>
      <c r="R49" s="67">
        <f t="shared" si="0"/>
        <v>0</v>
      </c>
      <c r="S49" s="68">
        <f t="shared" si="161"/>
        <v>0</v>
      </c>
      <c r="U49" s="115"/>
      <c r="V49" s="67">
        <f t="shared" si="1"/>
        <v>0</v>
      </c>
      <c r="W49" s="68">
        <f t="shared" si="162"/>
        <v>0</v>
      </c>
      <c r="X49" s="115"/>
      <c r="Y49" s="67">
        <f t="shared" si="2"/>
        <v>0</v>
      </c>
      <c r="Z49" s="68">
        <f t="shared" si="163"/>
        <v>0</v>
      </c>
      <c r="AB49" s="115">
        <f>F49</f>
        <v>2216.56</v>
      </c>
      <c r="AC49" s="67">
        <f t="shared" si="3"/>
        <v>5.1655942342959248E-2</v>
      </c>
      <c r="AD49" s="68">
        <f t="shared" si="164"/>
        <v>166131.17000000001</v>
      </c>
      <c r="AE49" s="115"/>
      <c r="AF49" s="67">
        <f t="shared" si="4"/>
        <v>0</v>
      </c>
      <c r="AG49" s="68">
        <f t="shared" si="165"/>
        <v>0</v>
      </c>
      <c r="AI49" s="115"/>
      <c r="AJ49" s="67">
        <f t="shared" si="5"/>
        <v>0</v>
      </c>
      <c r="AK49" s="68">
        <f t="shared" si="166"/>
        <v>0</v>
      </c>
      <c r="AL49" s="115"/>
      <c r="AM49" s="67">
        <f t="shared" si="6"/>
        <v>0</v>
      </c>
      <c r="AN49" s="68">
        <f t="shared" si="167"/>
        <v>0</v>
      </c>
      <c r="AP49" s="115"/>
      <c r="AQ49" s="67">
        <f t="shared" si="7"/>
        <v>0</v>
      </c>
      <c r="AR49" s="68">
        <f t="shared" si="168"/>
        <v>0</v>
      </c>
      <c r="AS49" s="115"/>
      <c r="AT49" s="67">
        <f t="shared" si="8"/>
        <v>0</v>
      </c>
      <c r="AU49" s="68">
        <f t="shared" si="169"/>
        <v>0</v>
      </c>
      <c r="AW49" s="115"/>
      <c r="AX49" s="67">
        <f t="shared" si="9"/>
        <v>0</v>
      </c>
      <c r="AY49" s="68">
        <f t="shared" ref="AY48:AY55" si="175">TRUNC(AW49*$I49,2)</f>
        <v>0</v>
      </c>
      <c r="AZ49" s="115"/>
      <c r="BA49" s="67">
        <f t="shared" si="10"/>
        <v>0</v>
      </c>
      <c r="BB49" s="68">
        <f t="shared" si="170"/>
        <v>0</v>
      </c>
      <c r="BD49" s="115">
        <f t="shared" si="171"/>
        <v>0</v>
      </c>
      <c r="BE49" s="67">
        <f t="shared" si="11"/>
        <v>0</v>
      </c>
      <c r="BF49" s="68">
        <f t="shared" si="172"/>
        <v>0</v>
      </c>
      <c r="BG49" s="133">
        <f t="shared" si="173"/>
        <v>2216.56</v>
      </c>
      <c r="BH49" s="67">
        <f t="shared" si="12"/>
        <v>5.1655942342959248E-2</v>
      </c>
      <c r="BI49" s="68">
        <f t="shared" si="174"/>
        <v>166131.17000000001</v>
      </c>
      <c r="BJ49" s="117"/>
      <c r="BL49" s="92"/>
    </row>
    <row r="50" spans="1:64" ht="51" x14ac:dyDescent="0.25">
      <c r="A50" s="100" t="str">
        <f>'01 - Orçamento Sintético'!A50</f>
        <v xml:space="preserve"> 3.1.1.3 </v>
      </c>
      <c r="B50" s="101" t="str">
        <f>'01 - Orçamento Sintético'!B50</f>
        <v xml:space="preserve"> 98671 </v>
      </c>
      <c r="C50" s="100" t="str">
        <f>'01 - Orçamento Sintético'!C50</f>
        <v>SINAPI</v>
      </c>
      <c r="D50" s="100" t="str">
        <f>'01 - Orçamento Sintético'!D50</f>
        <v>PISO EM GRANITO APLICADO EM AMBIENTES INTERNOS. AF_09/2020</v>
      </c>
      <c r="E50" s="94" t="str">
        <f>'01 - Orçamento Sintético'!E50</f>
        <v>m²</v>
      </c>
      <c r="F50" s="94">
        <f>'01 - Orçamento Sintético'!F50</f>
        <v>160.37</v>
      </c>
      <c r="G50" s="68">
        <f>INDEX('01 - Orçamento Sintético'!$A$6:$AB$125,MATCH('02 - Planilha de Medição'!$A50,'01 - Orçamento Sintético'!$A$6:$A$125,0),23)</f>
        <v>58.6</v>
      </c>
      <c r="H50" s="68">
        <f>INDEX('01 - Orçamento Sintético'!$A$6:$AB$125,MATCH('02 - Planilha de Medição'!$A50,'01 - Orçamento Sintético'!$A$6:$A$125,0),24)</f>
        <v>519.14</v>
      </c>
      <c r="I50" s="68">
        <f>INDEX('01 - Orçamento Sintético'!$A$6:$AB$125,MATCH('02 - Planilha de Medição'!$A50,'01 - Orçamento Sintético'!$A$6:$A$125,0),25)</f>
        <v>577.74</v>
      </c>
      <c r="J50" s="68">
        <f>INDEX('01 - Orçamento Sintético'!$A$6:$AB$125,MATCH('02 - Planilha de Medição'!$A50,'01 - Orçamento Sintético'!$A$6:$A$125,0),26)</f>
        <v>9397.68</v>
      </c>
      <c r="K50" s="68">
        <f>INDEX('01 - Orçamento Sintético'!$A$6:$AB$125,MATCH('02 - Planilha de Medição'!$A50,'01 - Orçamento Sintético'!$A$6:$A$125,0),27)</f>
        <v>83254.48000000001</v>
      </c>
      <c r="L50" s="68">
        <f>INDEX('01 - Orçamento Sintético'!$A$6:$AB$125,MATCH('02 - Planilha de Medição'!$A50,'01 - Orçamento Sintético'!$A$6:$A$125,0),28)</f>
        <v>92652.160000000003</v>
      </c>
      <c r="N50" s="115"/>
      <c r="O50" s="67">
        <f t="shared" si="14"/>
        <v>0</v>
      </c>
      <c r="P50" s="68">
        <f t="shared" si="160"/>
        <v>0</v>
      </c>
      <c r="Q50" s="115"/>
      <c r="R50" s="67">
        <f t="shared" si="0"/>
        <v>0</v>
      </c>
      <c r="S50" s="68">
        <f t="shared" si="161"/>
        <v>0</v>
      </c>
      <c r="U50" s="115"/>
      <c r="V50" s="67">
        <f t="shared" si="1"/>
        <v>0</v>
      </c>
      <c r="W50" s="68">
        <f t="shared" si="162"/>
        <v>0</v>
      </c>
      <c r="X50" s="115"/>
      <c r="Y50" s="67">
        <f t="shared" si="2"/>
        <v>0</v>
      </c>
      <c r="Z50" s="68">
        <f t="shared" si="163"/>
        <v>0</v>
      </c>
      <c r="AB50" s="115">
        <f>F50</f>
        <v>160.37</v>
      </c>
      <c r="AC50" s="67">
        <f t="shared" si="3"/>
        <v>2.8808769810690159E-2</v>
      </c>
      <c r="AD50" s="68">
        <f t="shared" si="164"/>
        <v>92652.160000000003</v>
      </c>
      <c r="AE50" s="115"/>
      <c r="AF50" s="67">
        <f t="shared" si="4"/>
        <v>0</v>
      </c>
      <c r="AG50" s="68">
        <f t="shared" si="165"/>
        <v>0</v>
      </c>
      <c r="AI50" s="115"/>
      <c r="AJ50" s="67">
        <f t="shared" si="5"/>
        <v>0</v>
      </c>
      <c r="AK50" s="68">
        <f t="shared" si="166"/>
        <v>0</v>
      </c>
      <c r="AL50" s="115"/>
      <c r="AM50" s="67">
        <f t="shared" si="6"/>
        <v>0</v>
      </c>
      <c r="AN50" s="68">
        <f t="shared" si="167"/>
        <v>0</v>
      </c>
      <c r="AP50" s="115"/>
      <c r="AQ50" s="67">
        <f t="shared" si="7"/>
        <v>0</v>
      </c>
      <c r="AR50" s="68">
        <f t="shared" si="168"/>
        <v>0</v>
      </c>
      <c r="AS50" s="115"/>
      <c r="AT50" s="67">
        <f t="shared" si="8"/>
        <v>0</v>
      </c>
      <c r="AU50" s="68">
        <f t="shared" si="169"/>
        <v>0</v>
      </c>
      <c r="AW50" s="115"/>
      <c r="AX50" s="67">
        <f t="shared" si="9"/>
        <v>0</v>
      </c>
      <c r="AY50" s="68">
        <f t="shared" si="175"/>
        <v>0</v>
      </c>
      <c r="AZ50" s="115"/>
      <c r="BA50" s="67">
        <f t="shared" si="10"/>
        <v>0</v>
      </c>
      <c r="BB50" s="68">
        <f t="shared" si="170"/>
        <v>0</v>
      </c>
      <c r="BD50" s="115">
        <f t="shared" si="171"/>
        <v>0</v>
      </c>
      <c r="BE50" s="67">
        <f t="shared" si="11"/>
        <v>0</v>
      </c>
      <c r="BF50" s="68">
        <f t="shared" si="172"/>
        <v>0</v>
      </c>
      <c r="BG50" s="133">
        <f t="shared" si="173"/>
        <v>160.37</v>
      </c>
      <c r="BH50" s="67">
        <f t="shared" si="12"/>
        <v>2.8808769810690159E-2</v>
      </c>
      <c r="BI50" s="68">
        <f t="shared" si="174"/>
        <v>92652.160000000003</v>
      </c>
      <c r="BJ50" s="117"/>
      <c r="BL50" s="92"/>
    </row>
    <row r="51" spans="1:64" ht="38.25" x14ac:dyDescent="0.25">
      <c r="A51" s="100" t="str">
        <f>'01 - Orçamento Sintético'!A51</f>
        <v xml:space="preserve"> 3.1.1.4 </v>
      </c>
      <c r="B51" s="101" t="str">
        <f>'01 - Orçamento Sintético'!B51</f>
        <v xml:space="preserve"> 98685 </v>
      </c>
      <c r="C51" s="100" t="str">
        <f>'01 - Orçamento Sintético'!C51</f>
        <v>SINAPI</v>
      </c>
      <c r="D51" s="100" t="str">
        <f>'01 - Orçamento Sintético'!D51</f>
        <v>RODAPÉ EM GRANITO, ALTURA 10 CM. AF_09/2020</v>
      </c>
      <c r="E51" s="94" t="str">
        <f>'01 - Orçamento Sintético'!E51</f>
        <v>M</v>
      </c>
      <c r="F51" s="94">
        <f>'01 - Orçamento Sintético'!F51</f>
        <v>65.5</v>
      </c>
      <c r="G51" s="68">
        <f>INDEX('01 - Orçamento Sintético'!$A$6:$AB$125,MATCH('02 - Planilha de Medição'!$A51,'01 - Orçamento Sintético'!$A$6:$A$125,0),23)</f>
        <v>14.74</v>
      </c>
      <c r="H51" s="68">
        <f>INDEX('01 - Orçamento Sintético'!$A$6:$AB$125,MATCH('02 - Planilha de Medição'!$A51,'01 - Orçamento Sintético'!$A$6:$A$125,0),24)</f>
        <v>91.95</v>
      </c>
      <c r="I51" s="68">
        <f>INDEX('01 - Orçamento Sintético'!$A$6:$AB$125,MATCH('02 - Planilha de Medição'!$A51,'01 - Orçamento Sintético'!$A$6:$A$125,0),25)</f>
        <v>106.69</v>
      </c>
      <c r="J51" s="68">
        <f>INDEX('01 - Orçamento Sintético'!$A$6:$AB$125,MATCH('02 - Planilha de Medição'!$A51,'01 - Orçamento Sintético'!$A$6:$A$125,0),26)</f>
        <v>965.47</v>
      </c>
      <c r="K51" s="68">
        <f>INDEX('01 - Orçamento Sintético'!$A$6:$AB$125,MATCH('02 - Planilha de Medição'!$A51,'01 - Orçamento Sintético'!$A$6:$A$125,0),27)</f>
        <v>6022.7199999999993</v>
      </c>
      <c r="L51" s="68">
        <f>INDEX('01 - Orçamento Sintético'!$A$6:$AB$125,MATCH('02 - Planilha de Medição'!$A51,'01 - Orçamento Sintético'!$A$6:$A$125,0),28)</f>
        <v>6988.19</v>
      </c>
      <c r="N51" s="115"/>
      <c r="O51" s="67">
        <f t="shared" si="14"/>
        <v>0</v>
      </c>
      <c r="P51" s="68">
        <f t="shared" si="160"/>
        <v>0</v>
      </c>
      <c r="Q51" s="115"/>
      <c r="R51" s="67">
        <f t="shared" si="0"/>
        <v>0</v>
      </c>
      <c r="S51" s="68">
        <f t="shared" si="161"/>
        <v>0</v>
      </c>
      <c r="U51" s="115"/>
      <c r="V51" s="67">
        <f t="shared" si="1"/>
        <v>0</v>
      </c>
      <c r="W51" s="68">
        <f t="shared" si="162"/>
        <v>0</v>
      </c>
      <c r="X51" s="115"/>
      <c r="Y51" s="67">
        <f t="shared" si="2"/>
        <v>0</v>
      </c>
      <c r="Z51" s="68">
        <f t="shared" si="163"/>
        <v>0</v>
      </c>
      <c r="AB51" s="115">
        <f>F51</f>
        <v>65.5</v>
      </c>
      <c r="AC51" s="67">
        <f t="shared" si="3"/>
        <v>2.1728706282008628E-3</v>
      </c>
      <c r="AD51" s="68">
        <f t="shared" si="164"/>
        <v>6988.19</v>
      </c>
      <c r="AE51" s="115"/>
      <c r="AF51" s="67">
        <f t="shared" si="4"/>
        <v>0</v>
      </c>
      <c r="AG51" s="68">
        <f t="shared" si="165"/>
        <v>0</v>
      </c>
      <c r="AI51" s="115"/>
      <c r="AJ51" s="67">
        <f t="shared" si="5"/>
        <v>0</v>
      </c>
      <c r="AK51" s="68">
        <f t="shared" si="166"/>
        <v>0</v>
      </c>
      <c r="AL51" s="115"/>
      <c r="AM51" s="67">
        <f t="shared" si="6"/>
        <v>0</v>
      </c>
      <c r="AN51" s="68">
        <f t="shared" si="167"/>
        <v>0</v>
      </c>
      <c r="AP51" s="115"/>
      <c r="AQ51" s="67">
        <f t="shared" si="7"/>
        <v>0</v>
      </c>
      <c r="AR51" s="68">
        <f t="shared" si="168"/>
        <v>0</v>
      </c>
      <c r="AS51" s="115"/>
      <c r="AT51" s="67">
        <f t="shared" si="8"/>
        <v>0</v>
      </c>
      <c r="AU51" s="68">
        <f t="shared" si="169"/>
        <v>0</v>
      </c>
      <c r="AW51" s="115"/>
      <c r="AX51" s="67">
        <f t="shared" si="9"/>
        <v>0</v>
      </c>
      <c r="AY51" s="68">
        <f t="shared" si="175"/>
        <v>0</v>
      </c>
      <c r="AZ51" s="115"/>
      <c r="BA51" s="67">
        <f t="shared" si="10"/>
        <v>0</v>
      </c>
      <c r="BB51" s="68">
        <f t="shared" si="170"/>
        <v>0</v>
      </c>
      <c r="BD51" s="115">
        <f t="shared" si="171"/>
        <v>0</v>
      </c>
      <c r="BE51" s="67">
        <f t="shared" si="11"/>
        <v>0</v>
      </c>
      <c r="BF51" s="68">
        <f t="shared" si="172"/>
        <v>0</v>
      </c>
      <c r="BG51" s="133">
        <f t="shared" si="173"/>
        <v>65.5</v>
      </c>
      <c r="BH51" s="67">
        <f t="shared" si="12"/>
        <v>2.1728706282008628E-3</v>
      </c>
      <c r="BI51" s="68">
        <f t="shared" si="174"/>
        <v>6988.19</v>
      </c>
      <c r="BJ51" s="117"/>
      <c r="BL51" s="92"/>
    </row>
    <row r="52" spans="1:64" ht="38.25" x14ac:dyDescent="0.25">
      <c r="A52" s="100" t="str">
        <f>'01 - Orçamento Sintético'!A52</f>
        <v xml:space="preserve"> 3.1.1.5 </v>
      </c>
      <c r="B52" s="101" t="str">
        <f>'01 - Orçamento Sintético'!B52</f>
        <v xml:space="preserve"> 170301 </v>
      </c>
      <c r="C52" s="100" t="str">
        <f>'01 - Orçamento Sintético'!C52</f>
        <v>SBC</v>
      </c>
      <c r="D52" s="100" t="str">
        <f>'01 - Orçamento Sintético'!D52</f>
        <v>APICOAMENTO MANUAL DE PISO DE ALTA RESISTENCIA</v>
      </c>
      <c r="E52" s="94" t="str">
        <f>'01 - Orçamento Sintético'!E52</f>
        <v>m²</v>
      </c>
      <c r="F52" s="94">
        <f>'01 - Orçamento Sintético'!F52</f>
        <v>44.51</v>
      </c>
      <c r="G52" s="68">
        <f>INDEX('01 - Orçamento Sintético'!$A$6:$AB$125,MATCH('02 - Planilha de Medição'!$A52,'01 - Orçamento Sintético'!$A$6:$A$125,0),23)</f>
        <v>8.15</v>
      </c>
      <c r="H52" s="68">
        <f>INDEX('01 - Orçamento Sintético'!$A$6:$AB$125,MATCH('02 - Planilha de Medição'!$A52,'01 - Orçamento Sintético'!$A$6:$A$125,0),24)</f>
        <v>3.8499999999999996</v>
      </c>
      <c r="I52" s="68">
        <f>INDEX('01 - Orçamento Sintético'!$A$6:$AB$125,MATCH('02 - Planilha de Medição'!$A52,'01 - Orçamento Sintético'!$A$6:$A$125,0),25)</f>
        <v>12</v>
      </c>
      <c r="J52" s="68">
        <f>INDEX('01 - Orçamento Sintético'!$A$6:$AB$125,MATCH('02 - Planilha de Medição'!$A52,'01 - Orçamento Sintético'!$A$6:$A$125,0),26)</f>
        <v>362.75</v>
      </c>
      <c r="K52" s="68">
        <f>INDEX('01 - Orçamento Sintético'!$A$6:$AB$125,MATCH('02 - Planilha de Medição'!$A52,'01 - Orçamento Sintético'!$A$6:$A$125,0),27)</f>
        <v>171.37</v>
      </c>
      <c r="L52" s="68">
        <f>INDEX('01 - Orçamento Sintético'!$A$6:$AB$125,MATCH('02 - Planilha de Medição'!$A52,'01 - Orçamento Sintético'!$A$6:$A$125,0),28)</f>
        <v>534.12</v>
      </c>
      <c r="N52" s="115"/>
      <c r="O52" s="67">
        <f t="shared" si="14"/>
        <v>0</v>
      </c>
      <c r="P52" s="68">
        <f t="shared" si="160"/>
        <v>0</v>
      </c>
      <c r="Q52" s="115"/>
      <c r="R52" s="67">
        <f t="shared" si="0"/>
        <v>0</v>
      </c>
      <c r="S52" s="68">
        <f t="shared" si="161"/>
        <v>0</v>
      </c>
      <c r="U52" s="115"/>
      <c r="V52" s="67">
        <f t="shared" si="1"/>
        <v>0</v>
      </c>
      <c r="W52" s="68">
        <f t="shared" si="162"/>
        <v>0</v>
      </c>
      <c r="X52" s="115"/>
      <c r="Y52" s="67">
        <f t="shared" si="2"/>
        <v>0</v>
      </c>
      <c r="Z52" s="68">
        <f t="shared" si="163"/>
        <v>0</v>
      </c>
      <c r="AB52" s="115">
        <f>F52</f>
        <v>44.51</v>
      </c>
      <c r="AC52" s="67">
        <f t="shared" si="3"/>
        <v>1.6607643179917045E-4</v>
      </c>
      <c r="AD52" s="68">
        <f t="shared" si="164"/>
        <v>534.12</v>
      </c>
      <c r="AE52" s="115"/>
      <c r="AF52" s="67">
        <f t="shared" si="4"/>
        <v>0</v>
      </c>
      <c r="AG52" s="68">
        <f t="shared" si="165"/>
        <v>0</v>
      </c>
      <c r="AI52" s="115"/>
      <c r="AJ52" s="67">
        <f t="shared" si="5"/>
        <v>0</v>
      </c>
      <c r="AK52" s="68">
        <f t="shared" si="166"/>
        <v>0</v>
      </c>
      <c r="AL52" s="115"/>
      <c r="AM52" s="67">
        <f t="shared" si="6"/>
        <v>0</v>
      </c>
      <c r="AN52" s="68">
        <f t="shared" si="167"/>
        <v>0</v>
      </c>
      <c r="AP52" s="115"/>
      <c r="AQ52" s="67">
        <f t="shared" si="7"/>
        <v>0</v>
      </c>
      <c r="AR52" s="68">
        <f t="shared" si="168"/>
        <v>0</v>
      </c>
      <c r="AS52" s="115"/>
      <c r="AT52" s="67">
        <f t="shared" si="8"/>
        <v>0</v>
      </c>
      <c r="AU52" s="68">
        <f t="shared" si="169"/>
        <v>0</v>
      </c>
      <c r="AW52" s="115"/>
      <c r="AX52" s="67">
        <f t="shared" si="9"/>
        <v>0</v>
      </c>
      <c r="AY52" s="68">
        <f t="shared" si="175"/>
        <v>0</v>
      </c>
      <c r="AZ52" s="115"/>
      <c r="BA52" s="67">
        <f t="shared" si="10"/>
        <v>0</v>
      </c>
      <c r="BB52" s="68">
        <f t="shared" si="170"/>
        <v>0</v>
      </c>
      <c r="BD52" s="115">
        <f t="shared" si="171"/>
        <v>0</v>
      </c>
      <c r="BE52" s="67">
        <f t="shared" si="11"/>
        <v>0</v>
      </c>
      <c r="BF52" s="68">
        <f t="shared" si="172"/>
        <v>0</v>
      </c>
      <c r="BG52" s="133">
        <f t="shared" si="173"/>
        <v>44.51</v>
      </c>
      <c r="BH52" s="67">
        <f t="shared" si="12"/>
        <v>1.6607643179917045E-4</v>
      </c>
      <c r="BI52" s="68">
        <f t="shared" si="174"/>
        <v>534.12</v>
      </c>
      <c r="BJ52" s="117"/>
      <c r="BL52" s="92"/>
    </row>
    <row r="53" spans="1:64" ht="63.75" x14ac:dyDescent="0.25">
      <c r="A53" s="100" t="str">
        <f>'01 - Orçamento Sintético'!A53</f>
        <v xml:space="preserve"> 3.1.1.6 </v>
      </c>
      <c r="B53" s="101" t="str">
        <f>'01 - Orçamento Sintético'!B53</f>
        <v xml:space="preserve"> 96113 </v>
      </c>
      <c r="C53" s="100" t="str">
        <f>'01 - Orçamento Sintético'!C53</f>
        <v>SINAPI</v>
      </c>
      <c r="D53" s="100" t="str">
        <f>'01 - Orçamento Sintético'!D53</f>
        <v>FORRO EM PLACAS DE GESSO, PARA AMBIENTES COMERCIAIS. AF_08/2023_PS</v>
      </c>
      <c r="E53" s="94" t="str">
        <f>'01 - Orçamento Sintético'!E53</f>
        <v>m²</v>
      </c>
      <c r="F53" s="94">
        <f>'01 - Orçamento Sintético'!F53</f>
        <v>374.84</v>
      </c>
      <c r="G53" s="68">
        <f>INDEX('01 - Orçamento Sintético'!$A$6:$AB$125,MATCH('02 - Planilha de Medição'!$A53,'01 - Orçamento Sintético'!$A$6:$A$125,0),23)</f>
        <v>35.33</v>
      </c>
      <c r="H53" s="68">
        <f>INDEX('01 - Orçamento Sintético'!$A$6:$AB$125,MATCH('02 - Planilha de Medição'!$A53,'01 - Orçamento Sintético'!$A$6:$A$125,0),24)</f>
        <v>32.200000000000003</v>
      </c>
      <c r="I53" s="68">
        <f>INDEX('01 - Orçamento Sintético'!$A$6:$AB$125,MATCH('02 - Planilha de Medição'!$A53,'01 - Orçamento Sintético'!$A$6:$A$125,0),25)</f>
        <v>67.53</v>
      </c>
      <c r="J53" s="68">
        <f>INDEX('01 - Orçamento Sintético'!$A$6:$AB$125,MATCH('02 - Planilha de Medição'!$A53,'01 - Orçamento Sintético'!$A$6:$A$125,0),26)</f>
        <v>13243.09</v>
      </c>
      <c r="K53" s="68">
        <f>INDEX('01 - Orçamento Sintético'!$A$6:$AB$125,MATCH('02 - Planilha de Medição'!$A53,'01 - Orçamento Sintético'!$A$6:$A$125,0),27)</f>
        <v>12069.849999999999</v>
      </c>
      <c r="L53" s="68">
        <f>INDEX('01 - Orçamento Sintético'!$A$6:$AB$125,MATCH('02 - Planilha de Medição'!$A53,'01 - Orçamento Sintético'!$A$6:$A$125,0),28)</f>
        <v>25312.94</v>
      </c>
      <c r="N53" s="115"/>
      <c r="O53" s="67">
        <f t="shared" si="14"/>
        <v>0</v>
      </c>
      <c r="P53" s="68">
        <f t="shared" si="160"/>
        <v>0</v>
      </c>
      <c r="Q53" s="115"/>
      <c r="R53" s="67">
        <f t="shared" si="0"/>
        <v>0</v>
      </c>
      <c r="S53" s="68">
        <f t="shared" si="161"/>
        <v>0</v>
      </c>
      <c r="U53" s="115"/>
      <c r="V53" s="67">
        <f t="shared" si="1"/>
        <v>0</v>
      </c>
      <c r="W53" s="68">
        <f t="shared" si="162"/>
        <v>0</v>
      </c>
      <c r="X53" s="115"/>
      <c r="Y53" s="67">
        <f t="shared" si="2"/>
        <v>0</v>
      </c>
      <c r="Z53" s="68">
        <f t="shared" si="163"/>
        <v>0</v>
      </c>
      <c r="AB53" s="115"/>
      <c r="AC53" s="67">
        <f t="shared" si="3"/>
        <v>0</v>
      </c>
      <c r="AD53" s="68">
        <f t="shared" si="164"/>
        <v>0</v>
      </c>
      <c r="AE53" s="115"/>
      <c r="AF53" s="67">
        <f t="shared" si="4"/>
        <v>0</v>
      </c>
      <c r="AG53" s="68">
        <f t="shared" si="165"/>
        <v>0</v>
      </c>
      <c r="AI53" s="115"/>
      <c r="AJ53" s="67">
        <f t="shared" si="5"/>
        <v>0</v>
      </c>
      <c r="AK53" s="68">
        <f t="shared" si="166"/>
        <v>0</v>
      </c>
      <c r="AL53" s="115"/>
      <c r="AM53" s="67">
        <f t="shared" si="6"/>
        <v>0</v>
      </c>
      <c r="AN53" s="68">
        <f t="shared" si="167"/>
        <v>0</v>
      </c>
      <c r="AP53" s="115">
        <f>F53</f>
        <v>374.84</v>
      </c>
      <c r="AQ53" s="67">
        <f t="shared" si="7"/>
        <v>7.8706709232878262E-3</v>
      </c>
      <c r="AR53" s="68">
        <f t="shared" si="168"/>
        <v>25312.94</v>
      </c>
      <c r="AS53" s="115"/>
      <c r="AT53" s="67">
        <f t="shared" si="8"/>
        <v>0</v>
      </c>
      <c r="AU53" s="68">
        <f t="shared" si="169"/>
        <v>0</v>
      </c>
      <c r="AW53" s="115"/>
      <c r="AX53" s="67">
        <f t="shared" si="9"/>
        <v>0</v>
      </c>
      <c r="AY53" s="68">
        <f t="shared" si="175"/>
        <v>0</v>
      </c>
      <c r="AZ53" s="115"/>
      <c r="BA53" s="67">
        <f t="shared" si="10"/>
        <v>0</v>
      </c>
      <c r="BB53" s="68">
        <f t="shared" si="170"/>
        <v>0</v>
      </c>
      <c r="BD53" s="115">
        <f t="shared" si="171"/>
        <v>0</v>
      </c>
      <c r="BE53" s="67">
        <f t="shared" si="11"/>
        <v>0</v>
      </c>
      <c r="BF53" s="68">
        <f t="shared" si="172"/>
        <v>0</v>
      </c>
      <c r="BG53" s="133">
        <f t="shared" si="173"/>
        <v>374.84</v>
      </c>
      <c r="BH53" s="67">
        <f t="shared" si="12"/>
        <v>7.8706709232878262E-3</v>
      </c>
      <c r="BI53" s="68">
        <f t="shared" si="174"/>
        <v>25312.94</v>
      </c>
      <c r="BJ53" s="117"/>
      <c r="BL53" s="92"/>
    </row>
    <row r="54" spans="1:64" ht="63.75" x14ac:dyDescent="0.25">
      <c r="A54" s="100" t="str">
        <f>'01 - Orçamento Sintético'!A54</f>
        <v xml:space="preserve"> 3.1.1.7 </v>
      </c>
      <c r="B54" s="101" t="str">
        <f>'01 - Orçamento Sintético'!B54</f>
        <v xml:space="preserve"> 88484 </v>
      </c>
      <c r="C54" s="100" t="str">
        <f>'01 - Orçamento Sintético'!C54</f>
        <v>SINAPI</v>
      </c>
      <c r="D54" s="100" t="str">
        <f>'01 - Orçamento Sintético'!D54</f>
        <v>FUNDO SELADOR ACRÍLICO, APLICAÇÃO MANUAL EM TETO, UMA DEMÃO. AF_04/2023</v>
      </c>
      <c r="E54" s="94" t="str">
        <f>'01 - Orçamento Sintético'!E54</f>
        <v>m²</v>
      </c>
      <c r="F54" s="94">
        <f>'01 - Orçamento Sintético'!F54</f>
        <v>374.84</v>
      </c>
      <c r="G54" s="68">
        <f>INDEX('01 - Orçamento Sintético'!$A$6:$AB$125,MATCH('02 - Planilha de Medição'!$A54,'01 - Orçamento Sintético'!$A$6:$A$125,0),23)</f>
        <v>3.78</v>
      </c>
      <c r="H54" s="68">
        <f>INDEX('01 - Orçamento Sintético'!$A$6:$AB$125,MATCH('02 - Planilha de Medição'!$A54,'01 - Orçamento Sintético'!$A$6:$A$125,0),24)</f>
        <v>3.35</v>
      </c>
      <c r="I54" s="68">
        <f>INDEX('01 - Orçamento Sintético'!$A$6:$AB$125,MATCH('02 - Planilha de Medição'!$A54,'01 - Orçamento Sintético'!$A$6:$A$125,0),25)</f>
        <v>7.13</v>
      </c>
      <c r="J54" s="68">
        <f>INDEX('01 - Orçamento Sintético'!$A$6:$AB$125,MATCH('02 - Planilha de Medição'!$A54,'01 - Orçamento Sintético'!$A$6:$A$125,0),26)</f>
        <v>1416.89</v>
      </c>
      <c r="K54" s="68">
        <f>INDEX('01 - Orçamento Sintético'!$A$6:$AB$125,MATCH('02 - Planilha de Medição'!$A54,'01 - Orçamento Sintético'!$A$6:$A$125,0),27)</f>
        <v>1255.7099999999998</v>
      </c>
      <c r="L54" s="68">
        <f>INDEX('01 - Orçamento Sintético'!$A$6:$AB$125,MATCH('02 - Planilha de Medição'!$A54,'01 - Orçamento Sintético'!$A$6:$A$125,0),28)</f>
        <v>2672.6</v>
      </c>
      <c r="N54" s="115"/>
      <c r="O54" s="67">
        <f t="shared" si="14"/>
        <v>0</v>
      </c>
      <c r="P54" s="68">
        <f t="shared" si="160"/>
        <v>0</v>
      </c>
      <c r="Q54" s="115"/>
      <c r="R54" s="67">
        <f t="shared" si="0"/>
        <v>0</v>
      </c>
      <c r="S54" s="68">
        <f t="shared" si="161"/>
        <v>0</v>
      </c>
      <c r="U54" s="115"/>
      <c r="V54" s="67">
        <f t="shared" si="1"/>
        <v>0</v>
      </c>
      <c r="W54" s="68">
        <f t="shared" si="162"/>
        <v>0</v>
      </c>
      <c r="X54" s="115"/>
      <c r="Y54" s="67">
        <f t="shared" si="2"/>
        <v>0</v>
      </c>
      <c r="Z54" s="68">
        <f t="shared" si="163"/>
        <v>0</v>
      </c>
      <c r="AB54" s="115"/>
      <c r="AC54" s="67">
        <f t="shared" si="3"/>
        <v>0</v>
      </c>
      <c r="AD54" s="68">
        <f t="shared" si="164"/>
        <v>0</v>
      </c>
      <c r="AE54" s="115"/>
      <c r="AF54" s="67">
        <f t="shared" si="4"/>
        <v>0</v>
      </c>
      <c r="AG54" s="68">
        <f t="shared" si="165"/>
        <v>0</v>
      </c>
      <c r="AI54" s="115"/>
      <c r="AJ54" s="67">
        <f t="shared" si="5"/>
        <v>0</v>
      </c>
      <c r="AK54" s="68">
        <f t="shared" si="166"/>
        <v>0</v>
      </c>
      <c r="AL54" s="115"/>
      <c r="AM54" s="67">
        <f t="shared" si="6"/>
        <v>0</v>
      </c>
      <c r="AN54" s="68">
        <f t="shared" si="167"/>
        <v>0</v>
      </c>
      <c r="AP54" s="115">
        <f>F54</f>
        <v>374.84</v>
      </c>
      <c r="AQ54" s="67">
        <f t="shared" si="7"/>
        <v>8.3100402835779028E-4</v>
      </c>
      <c r="AR54" s="68">
        <f t="shared" si="168"/>
        <v>2672.6</v>
      </c>
      <c r="AS54" s="115"/>
      <c r="AT54" s="67">
        <f t="shared" si="8"/>
        <v>0</v>
      </c>
      <c r="AU54" s="68">
        <f t="shared" si="169"/>
        <v>0</v>
      </c>
      <c r="AW54" s="115"/>
      <c r="AX54" s="67">
        <f t="shared" si="9"/>
        <v>0</v>
      </c>
      <c r="AY54" s="68">
        <f t="shared" si="175"/>
        <v>0</v>
      </c>
      <c r="AZ54" s="115"/>
      <c r="BA54" s="67">
        <f t="shared" si="10"/>
        <v>0</v>
      </c>
      <c r="BB54" s="68">
        <f t="shared" si="170"/>
        <v>0</v>
      </c>
      <c r="BD54" s="115">
        <f t="shared" si="171"/>
        <v>0</v>
      </c>
      <c r="BE54" s="67">
        <f t="shared" si="11"/>
        <v>0</v>
      </c>
      <c r="BF54" s="68">
        <f t="shared" si="172"/>
        <v>0</v>
      </c>
      <c r="BG54" s="133">
        <f t="shared" si="173"/>
        <v>374.84</v>
      </c>
      <c r="BH54" s="67">
        <f t="shared" si="12"/>
        <v>8.3100402835779028E-4</v>
      </c>
      <c r="BI54" s="68">
        <f t="shared" si="174"/>
        <v>2672.6</v>
      </c>
      <c r="BJ54" s="117"/>
      <c r="BL54" s="92"/>
    </row>
    <row r="55" spans="1:64" ht="63.75" x14ac:dyDescent="0.25">
      <c r="A55" s="100" t="str">
        <f>'01 - Orçamento Sintético'!A55</f>
        <v xml:space="preserve"> 3.1.1.8 </v>
      </c>
      <c r="B55" s="101" t="str">
        <f>'01 - Orçamento Sintético'!B55</f>
        <v xml:space="preserve"> 104640 </v>
      </c>
      <c r="C55" s="100" t="str">
        <f>'01 - Orçamento Sintético'!C55</f>
        <v>SINAPI</v>
      </c>
      <c r="D55" s="100" t="str">
        <f>'01 - Orçamento Sintético'!D55</f>
        <v>PINTURA LÁTEX ACRÍLICA STANDARD, APLICAÇÃO MANUAL EM TETO, DUAS DEMÃOS. AF_04/2023</v>
      </c>
      <c r="E55" s="94" t="str">
        <f>'01 - Orçamento Sintético'!E55</f>
        <v>m²</v>
      </c>
      <c r="F55" s="94">
        <f>'01 - Orçamento Sintético'!F55</f>
        <v>3813.93</v>
      </c>
      <c r="G55" s="68">
        <f>INDEX('01 - Orçamento Sintético'!$A$6:$AB$125,MATCH('02 - Planilha de Medição'!$A55,'01 - Orçamento Sintético'!$A$6:$A$125,0),23)</f>
        <v>9.27</v>
      </c>
      <c r="H55" s="68">
        <f>INDEX('01 - Orçamento Sintético'!$A$6:$AB$125,MATCH('02 - Planilha de Medição'!$A55,'01 - Orçamento Sintético'!$A$6:$A$125,0),24)</f>
        <v>9.0800000000000018</v>
      </c>
      <c r="I55" s="68">
        <f>INDEX('01 - Orçamento Sintético'!$A$6:$AB$125,MATCH('02 - Planilha de Medição'!$A55,'01 - Orçamento Sintético'!$A$6:$A$125,0),25)</f>
        <v>18.350000000000001</v>
      </c>
      <c r="J55" s="68">
        <f>INDEX('01 - Orçamento Sintético'!$A$6:$AB$125,MATCH('02 - Planilha de Medição'!$A55,'01 - Orçamento Sintético'!$A$6:$A$125,0),26)</f>
        <v>35355.129999999997</v>
      </c>
      <c r="K55" s="68">
        <f>INDEX('01 - Orçamento Sintético'!$A$6:$AB$125,MATCH('02 - Planilha de Medição'!$A55,'01 - Orçamento Sintético'!$A$6:$A$125,0),27)</f>
        <v>34630.480000000003</v>
      </c>
      <c r="L55" s="68">
        <f>INDEX('01 - Orçamento Sintético'!$A$6:$AB$125,MATCH('02 - Planilha de Medição'!$A55,'01 - Orçamento Sintético'!$A$6:$A$125,0),28)</f>
        <v>69985.61</v>
      </c>
      <c r="N55" s="115"/>
      <c r="O55" s="67">
        <f t="shared" si="14"/>
        <v>0</v>
      </c>
      <c r="P55" s="68">
        <f t="shared" si="160"/>
        <v>0</v>
      </c>
      <c r="Q55" s="115"/>
      <c r="R55" s="67">
        <f t="shared" si="0"/>
        <v>0</v>
      </c>
      <c r="S55" s="68">
        <f t="shared" si="161"/>
        <v>0</v>
      </c>
      <c r="U55" s="115"/>
      <c r="V55" s="67">
        <f t="shared" si="1"/>
        <v>0</v>
      </c>
      <c r="W55" s="68">
        <f t="shared" si="162"/>
        <v>0</v>
      </c>
      <c r="X55" s="115"/>
      <c r="Y55" s="67">
        <f t="shared" si="2"/>
        <v>0</v>
      </c>
      <c r="Z55" s="68">
        <f t="shared" si="163"/>
        <v>0</v>
      </c>
      <c r="AB55" s="115"/>
      <c r="AC55" s="67">
        <f t="shared" si="3"/>
        <v>0</v>
      </c>
      <c r="AD55" s="68">
        <f t="shared" si="164"/>
        <v>0</v>
      </c>
      <c r="AE55" s="115"/>
      <c r="AF55" s="67">
        <f t="shared" si="4"/>
        <v>0</v>
      </c>
      <c r="AG55" s="68">
        <f t="shared" si="165"/>
        <v>0</v>
      </c>
      <c r="AI55" s="115"/>
      <c r="AJ55" s="67">
        <f t="shared" si="5"/>
        <v>0</v>
      </c>
      <c r="AK55" s="68">
        <f t="shared" si="166"/>
        <v>0</v>
      </c>
      <c r="AL55" s="115"/>
      <c r="AM55" s="67">
        <f t="shared" si="6"/>
        <v>0</v>
      </c>
      <c r="AN55" s="68">
        <f t="shared" si="167"/>
        <v>0</v>
      </c>
      <c r="AP55" s="115">
        <f>TRUNC(F55/2,2)</f>
        <v>1906.96</v>
      </c>
      <c r="AQ55" s="67">
        <f t="shared" si="7"/>
        <v>1.088044712009127E-2</v>
      </c>
      <c r="AR55" s="68">
        <f t="shared" si="168"/>
        <v>34992.71</v>
      </c>
      <c r="AS55" s="115"/>
      <c r="AT55" s="67">
        <f t="shared" si="8"/>
        <v>0</v>
      </c>
      <c r="AU55" s="68">
        <f t="shared" si="169"/>
        <v>0</v>
      </c>
      <c r="AW55" s="115">
        <f>F55-AP55</f>
        <v>1906.9699999999998</v>
      </c>
      <c r="AX55" s="67">
        <f t="shared" si="9"/>
        <v>1.0880506197680655E-2</v>
      </c>
      <c r="AY55" s="68">
        <f>L55-AR55</f>
        <v>34992.9</v>
      </c>
      <c r="AZ55" s="115"/>
      <c r="BA55" s="67">
        <f t="shared" si="10"/>
        <v>0</v>
      </c>
      <c r="BB55" s="68">
        <f t="shared" si="170"/>
        <v>0</v>
      </c>
      <c r="BD55" s="115">
        <f t="shared" si="171"/>
        <v>0</v>
      </c>
      <c r="BE55" s="67">
        <f t="shared" si="11"/>
        <v>0</v>
      </c>
      <c r="BF55" s="68">
        <f t="shared" si="172"/>
        <v>0</v>
      </c>
      <c r="BG55" s="133">
        <f t="shared" si="173"/>
        <v>3813.93</v>
      </c>
      <c r="BH55" s="67">
        <f t="shared" si="12"/>
        <v>2.1760953317771926E-2</v>
      </c>
      <c r="BI55" s="68">
        <f t="shared" si="174"/>
        <v>69985.61</v>
      </c>
      <c r="BJ55" s="117"/>
      <c r="BL55" s="92"/>
    </row>
    <row r="56" spans="1:64" ht="25.5" x14ac:dyDescent="0.25">
      <c r="A56" s="99" t="str">
        <f>'01 - Orçamento Sintético'!A56</f>
        <v xml:space="preserve"> 3.1.2 </v>
      </c>
      <c r="B56" s="99"/>
      <c r="C56" s="99"/>
      <c r="D56" s="99" t="str">
        <f>'01 - Orçamento Sintético'!D56</f>
        <v>Revestimentos Verticais</v>
      </c>
      <c r="E56" s="99"/>
      <c r="F56" s="93"/>
      <c r="G56" s="69"/>
      <c r="H56" s="69"/>
      <c r="I56" s="69"/>
      <c r="J56" s="69"/>
      <c r="K56" s="69"/>
      <c r="L56" s="70">
        <f>INDEX('01 - Orçamento Sintético'!$A$6:$AB$125,MATCH('02 - Planilha de Medição'!$A56,'01 - Orçamento Sintético'!$A$6:$A$125,0),28)</f>
        <v>535663.62</v>
      </c>
      <c r="N56" s="116"/>
      <c r="O56" s="120">
        <f t="shared" si="14"/>
        <v>0</v>
      </c>
      <c r="P56" s="70">
        <f>SUM(P57:P61)</f>
        <v>0</v>
      </c>
      <c r="Q56" s="116"/>
      <c r="R56" s="120">
        <f t="shared" si="0"/>
        <v>0</v>
      </c>
      <c r="S56" s="70">
        <f>SUM(S57:S61)</f>
        <v>0</v>
      </c>
      <c r="U56" s="116"/>
      <c r="V56" s="120">
        <f t="shared" si="1"/>
        <v>0</v>
      </c>
      <c r="W56" s="70">
        <f>SUM(W57:W61)</f>
        <v>0</v>
      </c>
      <c r="X56" s="116"/>
      <c r="Y56" s="120">
        <f t="shared" si="2"/>
        <v>0</v>
      </c>
      <c r="Z56" s="70">
        <f>SUM(Z57:Z61)</f>
        <v>0</v>
      </c>
      <c r="AB56" s="116"/>
      <c r="AC56" s="120">
        <f t="shared" si="3"/>
        <v>4.1638967050612541E-2</v>
      </c>
      <c r="AD56" s="70">
        <f>SUM(AD57:AD61)</f>
        <v>133915.47999999998</v>
      </c>
      <c r="AE56" s="116"/>
      <c r="AF56" s="120">
        <f t="shared" si="4"/>
        <v>0</v>
      </c>
      <c r="AG56" s="70">
        <f>SUM(AG57:AG61)</f>
        <v>0</v>
      </c>
      <c r="AI56" s="116"/>
      <c r="AJ56" s="120">
        <f t="shared" si="5"/>
        <v>4.1638967050612541E-2</v>
      </c>
      <c r="AK56" s="70">
        <f>SUM(AK57:AK61)</f>
        <v>133915.47999999998</v>
      </c>
      <c r="AL56" s="116"/>
      <c r="AM56" s="120">
        <f t="shared" si="6"/>
        <v>0</v>
      </c>
      <c r="AN56" s="70">
        <f>SUM(AN57:AN61)</f>
        <v>0</v>
      </c>
      <c r="AP56" s="116"/>
      <c r="AQ56" s="120">
        <f t="shared" si="7"/>
        <v>4.1638967050612541E-2</v>
      </c>
      <c r="AR56" s="70">
        <f>SUM(AR57:AR61)</f>
        <v>133915.47999999998</v>
      </c>
      <c r="AS56" s="116"/>
      <c r="AT56" s="120">
        <f t="shared" si="8"/>
        <v>0</v>
      </c>
      <c r="AU56" s="70">
        <f>SUM(AU57:AU61)</f>
        <v>0</v>
      </c>
      <c r="AW56" s="116"/>
      <c r="AX56" s="120">
        <f t="shared" si="9"/>
        <v>4.1639495639570194E-2</v>
      </c>
      <c r="AY56" s="70">
        <f>SUM(AY57:AY61)</f>
        <v>133917.18</v>
      </c>
      <c r="AZ56" s="116"/>
      <c r="BA56" s="120">
        <f t="shared" si="10"/>
        <v>0</v>
      </c>
      <c r="BB56" s="70">
        <f>SUM(BB57:BB61)</f>
        <v>0</v>
      </c>
      <c r="BD56" s="116"/>
      <c r="BE56" s="120">
        <f t="shared" si="11"/>
        <v>0</v>
      </c>
      <c r="BF56" s="70">
        <f>SUM(BF57:BF61)</f>
        <v>0</v>
      </c>
      <c r="BG56" s="134"/>
      <c r="BH56" s="120">
        <f t="shared" si="12"/>
        <v>0.16655639679140782</v>
      </c>
      <c r="BI56" s="70">
        <f>SUM(BI57:BI61)</f>
        <v>535663.62</v>
      </c>
      <c r="BJ56" s="117"/>
      <c r="BL56" s="92"/>
    </row>
    <row r="57" spans="1:64" ht="165.75" x14ac:dyDescent="0.25">
      <c r="A57" s="100" t="str">
        <f>'01 - Orçamento Sintético'!A57</f>
        <v xml:space="preserve"> 3.1.2.1 </v>
      </c>
      <c r="B57" s="101" t="str">
        <f>'01 - Orçamento Sintético'!B57</f>
        <v xml:space="preserve"> 104718 </v>
      </c>
      <c r="C57" s="100" t="str">
        <f>'01 - Orçamento Sintético'!C57</f>
        <v>SINAPI</v>
      </c>
      <c r="D57" s="100" t="str">
        <f>'01 - Orçamento Sintético'!D57</f>
        <v>PAREDE COM SISTEMA EM CHAPAS DE GESSO PARA DRYWALL, USO INTERNO, COM DUAS FACES SIMPLES E ESTRUTURA METÁLICA COM GUIAS SIMPLES PARA PAREDES COM ÁREA LÍQUIDA MENOR QUE 6 M2, COM VÃOS. AF_07/2023_PS</v>
      </c>
      <c r="E57" s="94" t="str">
        <f>'01 - Orçamento Sintético'!E57</f>
        <v>m²</v>
      </c>
      <c r="F57" s="94">
        <f>'01 - Orçamento Sintético'!F57</f>
        <v>996.48</v>
      </c>
      <c r="G57" s="68">
        <f>INDEX('01 - Orçamento Sintético'!$A$6:$AB$125,MATCH('02 - Planilha de Medição'!$A57,'01 - Orçamento Sintético'!$A$6:$A$125,0),23)</f>
        <v>27.72</v>
      </c>
      <c r="H57" s="68">
        <f>INDEX('01 - Orçamento Sintético'!$A$6:$AB$125,MATCH('02 - Planilha de Medição'!$A57,'01 - Orçamento Sintético'!$A$6:$A$125,0),24)</f>
        <v>131.54</v>
      </c>
      <c r="I57" s="68">
        <f>INDEX('01 - Orçamento Sintético'!$A$6:$AB$125,MATCH('02 - Planilha de Medição'!$A57,'01 - Orçamento Sintético'!$A$6:$A$125,0),25)</f>
        <v>159.26</v>
      </c>
      <c r="J57" s="68">
        <f>INDEX('01 - Orçamento Sintético'!$A$6:$AB$125,MATCH('02 - Planilha de Medição'!$A57,'01 - Orçamento Sintético'!$A$6:$A$125,0),26)</f>
        <v>27622.42</v>
      </c>
      <c r="K57" s="68">
        <f>INDEX('01 - Orçamento Sintético'!$A$6:$AB$125,MATCH('02 - Planilha de Medição'!$A57,'01 - Orçamento Sintético'!$A$6:$A$125,0),27)</f>
        <v>131076.97999999998</v>
      </c>
      <c r="L57" s="68">
        <f>INDEX('01 - Orçamento Sintético'!$A$6:$AB$125,MATCH('02 - Planilha de Medição'!$A57,'01 - Orçamento Sintético'!$A$6:$A$125,0),28)</f>
        <v>158699.4</v>
      </c>
      <c r="N57" s="115"/>
      <c r="O57" s="67">
        <f t="shared" si="14"/>
        <v>0</v>
      </c>
      <c r="P57" s="68">
        <f t="shared" ref="P57:P61" si="176">TRUNC(N57*$I57,2)</f>
        <v>0</v>
      </c>
      <c r="Q57" s="115"/>
      <c r="R57" s="67">
        <f t="shared" si="0"/>
        <v>0</v>
      </c>
      <c r="S57" s="68">
        <f t="shared" ref="S57:S61" si="177">TRUNC(Q57*$I57,2)</f>
        <v>0</v>
      </c>
      <c r="U57" s="115"/>
      <c r="V57" s="67">
        <f t="shared" si="1"/>
        <v>0</v>
      </c>
      <c r="W57" s="68">
        <f t="shared" ref="W57:W61" si="178">TRUNC(U57*$I57,2)</f>
        <v>0</v>
      </c>
      <c r="X57" s="115"/>
      <c r="Y57" s="67">
        <f t="shared" si="2"/>
        <v>0</v>
      </c>
      <c r="Z57" s="68">
        <f t="shared" ref="Z57:Z61" si="179">TRUNC(X57*$I57,2)</f>
        <v>0</v>
      </c>
      <c r="AB57" s="115">
        <f>TRUNC($F57/4,2)</f>
        <v>249.12</v>
      </c>
      <c r="AC57" s="67">
        <f t="shared" si="3"/>
        <v>1.2336286827243536E-2</v>
      </c>
      <c r="AD57" s="68">
        <f t="shared" ref="AD57:AD61" si="180">TRUNC(AB57*$I57,2)</f>
        <v>39674.85</v>
      </c>
      <c r="AE57" s="115"/>
      <c r="AF57" s="67">
        <f t="shared" si="4"/>
        <v>0</v>
      </c>
      <c r="AG57" s="68">
        <f t="shared" ref="AG57:AG61" si="181">TRUNC(AE57*$I57,2)</f>
        <v>0</v>
      </c>
      <c r="AI57" s="115">
        <f>TRUNC($F57/4,2)</f>
        <v>249.12</v>
      </c>
      <c r="AJ57" s="67">
        <f t="shared" si="5"/>
        <v>1.2336286827243536E-2</v>
      </c>
      <c r="AK57" s="68">
        <f t="shared" ref="AK57:AK61" si="182">TRUNC(AI57*$I57,2)</f>
        <v>39674.85</v>
      </c>
      <c r="AL57" s="115"/>
      <c r="AM57" s="67">
        <f t="shared" si="6"/>
        <v>0</v>
      </c>
      <c r="AN57" s="68">
        <f t="shared" ref="AN57:AN61" si="183">TRUNC(AL57*$I57,2)</f>
        <v>0</v>
      </c>
      <c r="AP57" s="115">
        <f t="shared" ref="AP57:AP61" si="184">TRUNC($F57/4,2)</f>
        <v>249.12</v>
      </c>
      <c r="AQ57" s="67">
        <f t="shared" si="7"/>
        <v>1.2336286827243536E-2</v>
      </c>
      <c r="AR57" s="68">
        <f t="shared" ref="AR57:AR61" si="185">TRUNC(AP57*$I57,2)</f>
        <v>39674.85</v>
      </c>
      <c r="AS57" s="115"/>
      <c r="AT57" s="67">
        <f t="shared" si="8"/>
        <v>0</v>
      </c>
      <c r="AU57" s="68">
        <f t="shared" ref="AU57:AU61" si="186">TRUNC(AS57*$I57,2)</f>
        <v>0</v>
      </c>
      <c r="AW57" s="115">
        <f>F57-SUM(AP57,AI57,AB57)</f>
        <v>249.12</v>
      </c>
      <c r="AX57" s="67">
        <f t="shared" si="9"/>
        <v>1.2336286827243536E-2</v>
      </c>
      <c r="AY57" s="68">
        <f t="shared" ref="AY57:AY61" si="187">TRUNC(AW57*$I57,2)</f>
        <v>39674.85</v>
      </c>
      <c r="AZ57" s="115"/>
      <c r="BA57" s="67">
        <f t="shared" si="10"/>
        <v>0</v>
      </c>
      <c r="BB57" s="68">
        <f t="shared" ref="BB57:BB61" si="188">TRUNC(AZ57*$I57,2)</f>
        <v>0</v>
      </c>
      <c r="BD57" s="115">
        <f t="shared" ref="BD57:BD61" si="189">SUM(Q57,X57,AE57,AL57,AS57,AZ57)</f>
        <v>0</v>
      </c>
      <c r="BE57" s="67">
        <f t="shared" si="11"/>
        <v>0</v>
      </c>
      <c r="BF57" s="68">
        <f t="shared" ref="BF57:BF61" si="190">TRUNC(BD57*$I57,2)</f>
        <v>0</v>
      </c>
      <c r="BG57" s="133">
        <f t="shared" ref="BG57:BG61" si="191">$F57-BD57</f>
        <v>996.48</v>
      </c>
      <c r="BH57" s="67">
        <f t="shared" si="12"/>
        <v>4.9345147308974144E-2</v>
      </c>
      <c r="BI57" s="68">
        <f t="shared" ref="BI57:BI61" si="192">TRUNC(BG57*$I57,2)</f>
        <v>158699.4</v>
      </c>
      <c r="BJ57" s="117"/>
      <c r="BL57" s="92"/>
    </row>
    <row r="58" spans="1:64" ht="63.75" x14ac:dyDescent="0.25">
      <c r="A58" s="100" t="str">
        <f>'01 - Orçamento Sintético'!A58</f>
        <v xml:space="preserve"> 3.1.2.2 </v>
      </c>
      <c r="B58" s="101" t="str">
        <f>'01 - Orçamento Sintético'!B58</f>
        <v xml:space="preserve"> APUCARANA.LA-DE-ROCHA </v>
      </c>
      <c r="C58" s="100" t="str">
        <f>'01 - Orçamento Sintético'!C58</f>
        <v>Próprio</v>
      </c>
      <c r="D58" s="100" t="str">
        <f>'01 - Orçamento Sintético'!D58</f>
        <v>INSTALAÇÃO DE ISOLAMENTO COM LÃ DE ROCHA EM PAREDES DRYWALL</v>
      </c>
      <c r="E58" s="94" t="str">
        <f>'01 - Orçamento Sintético'!E58</f>
        <v>m²</v>
      </c>
      <c r="F58" s="94">
        <f>'01 - Orçamento Sintético'!F58</f>
        <v>799.65</v>
      </c>
      <c r="G58" s="68">
        <f>INDEX('01 - Orçamento Sintético'!$A$6:$AB$125,MATCH('02 - Planilha de Medição'!$A58,'01 - Orçamento Sintético'!$A$6:$A$125,0),23)</f>
        <v>2.37</v>
      </c>
      <c r="H58" s="68">
        <f>INDEX('01 - Orçamento Sintético'!$A$6:$AB$125,MATCH('02 - Planilha de Medição'!$A58,'01 - Orçamento Sintético'!$A$6:$A$125,0),24)</f>
        <v>37.07</v>
      </c>
      <c r="I58" s="68">
        <f>INDEX('01 - Orçamento Sintético'!$A$6:$AB$125,MATCH('02 - Planilha de Medição'!$A58,'01 - Orçamento Sintético'!$A$6:$A$125,0),25)</f>
        <v>39.44</v>
      </c>
      <c r="J58" s="68">
        <f>INDEX('01 - Orçamento Sintético'!$A$6:$AB$125,MATCH('02 - Planilha de Medição'!$A58,'01 - Orçamento Sintético'!$A$6:$A$125,0),26)</f>
        <v>1895.17</v>
      </c>
      <c r="K58" s="68">
        <f>INDEX('01 - Orçamento Sintético'!$A$6:$AB$125,MATCH('02 - Planilha de Medição'!$A58,'01 - Orçamento Sintético'!$A$6:$A$125,0),27)</f>
        <v>29643.019999999997</v>
      </c>
      <c r="L58" s="68">
        <f>INDEX('01 - Orçamento Sintético'!$A$6:$AB$125,MATCH('02 - Planilha de Medição'!$A58,'01 - Orçamento Sintético'!$A$6:$A$125,0),28)</f>
        <v>31538.19</v>
      </c>
      <c r="N58" s="115"/>
      <c r="O58" s="67">
        <f t="shared" si="14"/>
        <v>0</v>
      </c>
      <c r="P58" s="68">
        <f t="shared" si="176"/>
        <v>0</v>
      </c>
      <c r="Q58" s="115"/>
      <c r="R58" s="67">
        <f t="shared" si="0"/>
        <v>0</v>
      </c>
      <c r="S58" s="68">
        <f t="shared" si="177"/>
        <v>0</v>
      </c>
      <c r="U58" s="115"/>
      <c r="V58" s="67">
        <f t="shared" si="1"/>
        <v>0</v>
      </c>
      <c r="W58" s="68">
        <f t="shared" si="178"/>
        <v>0</v>
      </c>
      <c r="X58" s="115"/>
      <c r="Y58" s="67">
        <f t="shared" si="2"/>
        <v>0</v>
      </c>
      <c r="Z58" s="68">
        <f t="shared" si="179"/>
        <v>0</v>
      </c>
      <c r="AB58" s="115">
        <f t="shared" ref="AB58:AB61" si="193">TRUNC($F58/4,2)</f>
        <v>199.91</v>
      </c>
      <c r="AC58" s="67">
        <f t="shared" si="3"/>
        <v>2.4515489453661526E-3</v>
      </c>
      <c r="AD58" s="68">
        <f t="shared" si="180"/>
        <v>7884.45</v>
      </c>
      <c r="AE58" s="115"/>
      <c r="AF58" s="67">
        <f t="shared" si="4"/>
        <v>0</v>
      </c>
      <c r="AG58" s="68">
        <f t="shared" si="181"/>
        <v>0</v>
      </c>
      <c r="AI58" s="115">
        <f t="shared" ref="AI58:AI61" si="194">TRUNC($F58/4,2)</f>
        <v>199.91</v>
      </c>
      <c r="AJ58" s="67">
        <f t="shared" si="5"/>
        <v>2.4515489453661526E-3</v>
      </c>
      <c r="AK58" s="68">
        <f t="shared" si="182"/>
        <v>7884.45</v>
      </c>
      <c r="AL58" s="115"/>
      <c r="AM58" s="67">
        <f t="shared" si="6"/>
        <v>0</v>
      </c>
      <c r="AN58" s="68">
        <f t="shared" si="183"/>
        <v>0</v>
      </c>
      <c r="AP58" s="115">
        <f t="shared" si="184"/>
        <v>199.91</v>
      </c>
      <c r="AQ58" s="67">
        <f t="shared" si="7"/>
        <v>2.4515489453661526E-3</v>
      </c>
      <c r="AR58" s="68">
        <f t="shared" si="185"/>
        <v>7884.45</v>
      </c>
      <c r="AS58" s="115"/>
      <c r="AT58" s="67">
        <f t="shared" si="8"/>
        <v>0</v>
      </c>
      <c r="AU58" s="68">
        <f t="shared" si="186"/>
        <v>0</v>
      </c>
      <c r="AW58" s="115">
        <f t="shared" ref="AW58:AW61" si="195">F58-SUM(AP58,AI58,AB58)</f>
        <v>199.91999999999996</v>
      </c>
      <c r="AX58" s="67">
        <f t="shared" si="9"/>
        <v>2.4516702098917307E-3</v>
      </c>
      <c r="AY58" s="68">
        <f t="shared" si="187"/>
        <v>7884.84</v>
      </c>
      <c r="AZ58" s="115"/>
      <c r="BA58" s="67">
        <f t="shared" si="10"/>
        <v>0</v>
      </c>
      <c r="BB58" s="68">
        <f t="shared" si="188"/>
        <v>0</v>
      </c>
      <c r="BD58" s="115">
        <f t="shared" si="189"/>
        <v>0</v>
      </c>
      <c r="BE58" s="67">
        <f t="shared" si="11"/>
        <v>0</v>
      </c>
      <c r="BF58" s="68">
        <f t="shared" si="190"/>
        <v>0</v>
      </c>
      <c r="BG58" s="133">
        <f t="shared" si="191"/>
        <v>799.65</v>
      </c>
      <c r="BH58" s="67">
        <f t="shared" si="12"/>
        <v>9.8063170459901875E-3</v>
      </c>
      <c r="BI58" s="68">
        <f t="shared" si="192"/>
        <v>31538.19</v>
      </c>
      <c r="BJ58" s="117"/>
      <c r="BL58" s="92"/>
    </row>
    <row r="59" spans="1:64" ht="76.5" x14ac:dyDescent="0.25">
      <c r="A59" s="100" t="str">
        <f>'01 - Orçamento Sintético'!A59</f>
        <v xml:space="preserve"> 3.1.2.3 </v>
      </c>
      <c r="B59" s="101" t="str">
        <f>'01 - Orçamento Sintético'!B59</f>
        <v xml:space="preserve"> 88497 </v>
      </c>
      <c r="C59" s="100" t="str">
        <f>'01 - Orçamento Sintético'!C59</f>
        <v>SINAPI</v>
      </c>
      <c r="D59" s="100" t="str">
        <f>'01 - Orçamento Sintético'!D59</f>
        <v>EMASSAMENTO COM MASSA LÁTEX, APLICAÇÃO EM PAREDE, DUAS DEMÃOS, LIXAMENTO MANUAL. AF_04/2023</v>
      </c>
      <c r="E59" s="94" t="str">
        <f>'01 - Orçamento Sintético'!E59</f>
        <v>m²</v>
      </c>
      <c r="F59" s="94">
        <f>'01 - Orçamento Sintético'!F59</f>
        <v>679.39</v>
      </c>
      <c r="G59" s="68">
        <f>INDEX('01 - Orçamento Sintético'!$A$6:$AB$125,MATCH('02 - Planilha de Medição'!$A59,'01 - Orçamento Sintético'!$A$6:$A$125,0),23)</f>
        <v>14.74</v>
      </c>
      <c r="H59" s="68">
        <f>INDEX('01 - Orçamento Sintético'!$A$6:$AB$125,MATCH('02 - Planilha de Medição'!$A59,'01 - Orçamento Sintético'!$A$6:$A$125,0),24)</f>
        <v>13.709999999999999</v>
      </c>
      <c r="I59" s="68">
        <f>INDEX('01 - Orçamento Sintético'!$A$6:$AB$125,MATCH('02 - Planilha de Medição'!$A59,'01 - Orçamento Sintético'!$A$6:$A$125,0),25)</f>
        <v>28.45</v>
      </c>
      <c r="J59" s="68">
        <f>INDEX('01 - Orçamento Sintético'!$A$6:$AB$125,MATCH('02 - Planilha de Medição'!$A59,'01 - Orçamento Sintético'!$A$6:$A$125,0),26)</f>
        <v>10014.200000000001</v>
      </c>
      <c r="K59" s="68">
        <f>INDEX('01 - Orçamento Sintético'!$A$6:$AB$125,MATCH('02 - Planilha de Medição'!$A59,'01 - Orçamento Sintético'!$A$6:$A$125,0),27)</f>
        <v>9314.4399999999987</v>
      </c>
      <c r="L59" s="68">
        <f>INDEX('01 - Orçamento Sintético'!$A$6:$AB$125,MATCH('02 - Planilha de Medição'!$A59,'01 - Orçamento Sintético'!$A$6:$A$125,0),28)</f>
        <v>19328.64</v>
      </c>
      <c r="N59" s="115"/>
      <c r="O59" s="67">
        <f t="shared" si="14"/>
        <v>0</v>
      </c>
      <c r="P59" s="68">
        <f t="shared" si="176"/>
        <v>0</v>
      </c>
      <c r="Q59" s="115"/>
      <c r="R59" s="67">
        <f t="shared" si="0"/>
        <v>0</v>
      </c>
      <c r="S59" s="68">
        <f t="shared" si="177"/>
        <v>0</v>
      </c>
      <c r="U59" s="115"/>
      <c r="V59" s="67">
        <f t="shared" si="1"/>
        <v>0</v>
      </c>
      <c r="W59" s="68">
        <f t="shared" si="178"/>
        <v>0</v>
      </c>
      <c r="X59" s="115"/>
      <c r="Y59" s="67">
        <f t="shared" si="2"/>
        <v>0</v>
      </c>
      <c r="Z59" s="68">
        <f t="shared" si="179"/>
        <v>0</v>
      </c>
      <c r="AB59" s="115">
        <f t="shared" si="193"/>
        <v>169.84</v>
      </c>
      <c r="AC59" s="67">
        <f t="shared" si="3"/>
        <v>1.5024177223614235E-3</v>
      </c>
      <c r="AD59" s="68">
        <f t="shared" si="180"/>
        <v>4831.9399999999996</v>
      </c>
      <c r="AE59" s="115"/>
      <c r="AF59" s="67">
        <f t="shared" si="4"/>
        <v>0</v>
      </c>
      <c r="AG59" s="68">
        <f t="shared" si="181"/>
        <v>0</v>
      </c>
      <c r="AI59" s="115">
        <f t="shared" si="194"/>
        <v>169.84</v>
      </c>
      <c r="AJ59" s="67">
        <f t="shared" si="5"/>
        <v>1.5024177223614235E-3</v>
      </c>
      <c r="AK59" s="68">
        <f t="shared" si="182"/>
        <v>4831.9399999999996</v>
      </c>
      <c r="AL59" s="115"/>
      <c r="AM59" s="67">
        <f t="shared" si="6"/>
        <v>0</v>
      </c>
      <c r="AN59" s="68">
        <f t="shared" si="183"/>
        <v>0</v>
      </c>
      <c r="AP59" s="115">
        <f t="shared" si="184"/>
        <v>169.84</v>
      </c>
      <c r="AQ59" s="67">
        <f t="shared" si="7"/>
        <v>1.5024177223614235E-3</v>
      </c>
      <c r="AR59" s="68">
        <f t="shared" si="185"/>
        <v>4831.9399999999996</v>
      </c>
      <c r="AS59" s="115"/>
      <c r="AT59" s="67">
        <f t="shared" si="8"/>
        <v>0</v>
      </c>
      <c r="AU59" s="68">
        <f t="shared" si="186"/>
        <v>0</v>
      </c>
      <c r="AW59" s="115">
        <f t="shared" si="195"/>
        <v>169.87</v>
      </c>
      <c r="AX59" s="67">
        <f t="shared" si="9"/>
        <v>1.5026913448806763E-3</v>
      </c>
      <c r="AY59" s="68">
        <f>L59-SUM(AD59,AK59,AR59)</f>
        <v>4832.82</v>
      </c>
      <c r="AZ59" s="115"/>
      <c r="BA59" s="67">
        <f t="shared" si="10"/>
        <v>0</v>
      </c>
      <c r="BB59" s="68">
        <f t="shared" si="188"/>
        <v>0</v>
      </c>
      <c r="BD59" s="115">
        <f t="shared" si="189"/>
        <v>0</v>
      </c>
      <c r="BE59" s="67">
        <f t="shared" si="11"/>
        <v>0</v>
      </c>
      <c r="BF59" s="68">
        <f t="shared" si="190"/>
        <v>0</v>
      </c>
      <c r="BG59" s="133">
        <f t="shared" si="191"/>
        <v>679.39</v>
      </c>
      <c r="BH59" s="67">
        <f t="shared" si="12"/>
        <v>6.0099445119649476E-3</v>
      </c>
      <c r="BI59" s="68">
        <f t="shared" si="192"/>
        <v>19328.64</v>
      </c>
      <c r="BJ59" s="117"/>
      <c r="BL59" s="92"/>
    </row>
    <row r="60" spans="1:64" ht="63.75" x14ac:dyDescent="0.25">
      <c r="A60" s="100" t="str">
        <f>'01 - Orçamento Sintético'!A60</f>
        <v xml:space="preserve"> 3.1.2.4 </v>
      </c>
      <c r="B60" s="101" t="str">
        <f>'01 - Orçamento Sintético'!B60</f>
        <v xml:space="preserve"> 88485 </v>
      </c>
      <c r="C60" s="100" t="str">
        <f>'01 - Orçamento Sintético'!C60</f>
        <v>SINAPI</v>
      </c>
      <c r="D60" s="100" t="str">
        <f>'01 - Orçamento Sintético'!D60</f>
        <v>FUNDO SELADOR ACRÍLICO, APLICAÇÃO MANUAL EM PAREDE, UMA DEMÃO. AF_04/2023</v>
      </c>
      <c r="E60" s="94" t="str">
        <f>'01 - Orçamento Sintético'!E60</f>
        <v>m²</v>
      </c>
      <c r="F60" s="94">
        <f>'01 - Orçamento Sintético'!F60</f>
        <v>1599.3</v>
      </c>
      <c r="G60" s="68">
        <f>INDEX('01 - Orçamento Sintético'!$A$6:$AB$125,MATCH('02 - Planilha de Medição'!$A60,'01 - Orçamento Sintético'!$A$6:$A$125,0),23)</f>
        <v>2.71</v>
      </c>
      <c r="H60" s="68">
        <f>INDEX('01 - Orçamento Sintético'!$A$6:$AB$125,MATCH('02 - Planilha de Medição'!$A60,'01 - Orçamento Sintético'!$A$6:$A$125,0),24)</f>
        <v>2.9000000000000004</v>
      </c>
      <c r="I60" s="68">
        <f>INDEX('01 - Orçamento Sintético'!$A$6:$AB$125,MATCH('02 - Planilha de Medição'!$A60,'01 - Orçamento Sintético'!$A$6:$A$125,0),25)</f>
        <v>5.61</v>
      </c>
      <c r="J60" s="68">
        <f>INDEX('01 - Orçamento Sintético'!$A$6:$AB$125,MATCH('02 - Planilha de Medição'!$A60,'01 - Orçamento Sintético'!$A$6:$A$125,0),26)</f>
        <v>4334.1000000000004</v>
      </c>
      <c r="K60" s="68">
        <f>INDEX('01 - Orçamento Sintético'!$A$6:$AB$125,MATCH('02 - Planilha de Medição'!$A60,'01 - Orçamento Sintético'!$A$6:$A$125,0),27)</f>
        <v>4637.9699999999993</v>
      </c>
      <c r="L60" s="68">
        <f>INDEX('01 - Orçamento Sintético'!$A$6:$AB$125,MATCH('02 - Planilha de Medição'!$A60,'01 - Orçamento Sintético'!$A$6:$A$125,0),28)</f>
        <v>8972.07</v>
      </c>
      <c r="N60" s="115"/>
      <c r="O60" s="67">
        <f t="shared" si="14"/>
        <v>0</v>
      </c>
      <c r="P60" s="68">
        <f t="shared" si="176"/>
        <v>0</v>
      </c>
      <c r="Q60" s="115"/>
      <c r="R60" s="67">
        <f t="shared" si="0"/>
        <v>0</v>
      </c>
      <c r="S60" s="68">
        <f t="shared" si="177"/>
        <v>0</v>
      </c>
      <c r="U60" s="115"/>
      <c r="V60" s="67">
        <f t="shared" si="1"/>
        <v>0</v>
      </c>
      <c r="W60" s="68">
        <f t="shared" si="178"/>
        <v>0</v>
      </c>
      <c r="X60" s="115"/>
      <c r="Y60" s="67">
        <f t="shared" si="2"/>
        <v>0</v>
      </c>
      <c r="Z60" s="68">
        <f t="shared" si="179"/>
        <v>0</v>
      </c>
      <c r="AB60" s="115">
        <f t="shared" si="193"/>
        <v>399.82</v>
      </c>
      <c r="AC60" s="67">
        <f t="shared" si="3"/>
        <v>6.9742338006669152E-4</v>
      </c>
      <c r="AD60" s="68">
        <f t="shared" si="180"/>
        <v>2242.9899999999998</v>
      </c>
      <c r="AE60" s="115"/>
      <c r="AF60" s="67">
        <f t="shared" si="4"/>
        <v>0</v>
      </c>
      <c r="AG60" s="68">
        <f t="shared" si="181"/>
        <v>0</v>
      </c>
      <c r="AI60" s="115">
        <f t="shared" si="194"/>
        <v>399.82</v>
      </c>
      <c r="AJ60" s="67">
        <f t="shared" si="5"/>
        <v>6.9742338006669152E-4</v>
      </c>
      <c r="AK60" s="68">
        <f t="shared" si="182"/>
        <v>2242.9899999999998</v>
      </c>
      <c r="AL60" s="115"/>
      <c r="AM60" s="67">
        <f t="shared" si="6"/>
        <v>0</v>
      </c>
      <c r="AN60" s="68">
        <f t="shared" si="183"/>
        <v>0</v>
      </c>
      <c r="AP60" s="115">
        <f t="shared" si="184"/>
        <v>399.82</v>
      </c>
      <c r="AQ60" s="67">
        <f t="shared" si="7"/>
        <v>6.9742338006669152E-4</v>
      </c>
      <c r="AR60" s="68">
        <f t="shared" si="185"/>
        <v>2242.9899999999998</v>
      </c>
      <c r="AS60" s="115"/>
      <c r="AT60" s="67">
        <f t="shared" si="8"/>
        <v>0</v>
      </c>
      <c r="AU60" s="68">
        <f t="shared" si="186"/>
        <v>0</v>
      </c>
      <c r="AW60" s="115">
        <f t="shared" si="195"/>
        <v>399.83999999999992</v>
      </c>
      <c r="AX60" s="67">
        <f t="shared" si="9"/>
        <v>6.974575828815982E-4</v>
      </c>
      <c r="AY60" s="68">
        <f t="shared" si="187"/>
        <v>2243.1</v>
      </c>
      <c r="AZ60" s="115"/>
      <c r="BA60" s="67">
        <f t="shared" si="10"/>
        <v>0</v>
      </c>
      <c r="BB60" s="68">
        <f t="shared" si="188"/>
        <v>0</v>
      </c>
      <c r="BD60" s="115">
        <f t="shared" si="189"/>
        <v>0</v>
      </c>
      <c r="BE60" s="67">
        <f t="shared" si="11"/>
        <v>0</v>
      </c>
      <c r="BF60" s="68">
        <f t="shared" si="190"/>
        <v>0</v>
      </c>
      <c r="BG60" s="133">
        <f t="shared" si="191"/>
        <v>1599.3</v>
      </c>
      <c r="BH60" s="67">
        <f t="shared" si="12"/>
        <v>2.7897277230816728E-3</v>
      </c>
      <c r="BI60" s="68">
        <f t="shared" si="192"/>
        <v>8972.07</v>
      </c>
      <c r="BJ60" s="117"/>
      <c r="BL60" s="92"/>
    </row>
    <row r="61" spans="1:64" ht="63.75" x14ac:dyDescent="0.25">
      <c r="A61" s="100" t="str">
        <f>'01 - Orçamento Sintético'!A61</f>
        <v xml:space="preserve"> 3.1.2.5 </v>
      </c>
      <c r="B61" s="101" t="str">
        <f>'01 - Orçamento Sintético'!B61</f>
        <v xml:space="preserve"> 104642 </v>
      </c>
      <c r="C61" s="100" t="str">
        <f>'01 - Orçamento Sintético'!C61</f>
        <v>SINAPI</v>
      </c>
      <c r="D61" s="100" t="str">
        <f>'01 - Orçamento Sintético'!D61</f>
        <v>PINTURA LÁTEX ACRÍLICA STANDARD, APLICAÇÃO MANUAL EM PAREDES, DUAS DEMÃOS. AF_04/2023</v>
      </c>
      <c r="E61" s="94" t="str">
        <f>'01 - Orçamento Sintético'!E61</f>
        <v>m²</v>
      </c>
      <c r="F61" s="94">
        <f>'01 - Orçamento Sintético'!F61</f>
        <v>21646.78</v>
      </c>
      <c r="G61" s="68">
        <f>INDEX('01 - Orçamento Sintético'!$A$6:$AB$125,MATCH('02 - Planilha de Medição'!$A61,'01 - Orçamento Sintético'!$A$6:$A$125,0),23)</f>
        <v>6.66</v>
      </c>
      <c r="H61" s="68">
        <f>INDEX('01 - Orçamento Sintético'!$A$6:$AB$125,MATCH('02 - Planilha de Medição'!$A61,'01 - Orçamento Sintético'!$A$6:$A$125,0),24)</f>
        <v>7.99</v>
      </c>
      <c r="I61" s="68">
        <f>INDEX('01 - Orçamento Sintético'!$A$6:$AB$125,MATCH('02 - Planilha de Medição'!$A61,'01 - Orçamento Sintético'!$A$6:$A$125,0),25)</f>
        <v>14.65</v>
      </c>
      <c r="J61" s="68">
        <f>INDEX('01 - Orçamento Sintético'!$A$6:$AB$125,MATCH('02 - Planilha de Medição'!$A61,'01 - Orçamento Sintético'!$A$6:$A$125,0),26)</f>
        <v>144167.54999999999</v>
      </c>
      <c r="K61" s="68">
        <f>INDEX('01 - Orçamento Sintético'!$A$6:$AB$125,MATCH('02 - Planilha de Medição'!$A61,'01 - Orçamento Sintético'!$A$6:$A$125,0),27)</f>
        <v>172957.77000000002</v>
      </c>
      <c r="L61" s="68">
        <f>INDEX('01 - Orçamento Sintético'!$A$6:$AB$125,MATCH('02 - Planilha de Medição'!$A61,'01 - Orçamento Sintético'!$A$6:$A$125,0),28)</f>
        <v>317125.32</v>
      </c>
      <c r="N61" s="115"/>
      <c r="O61" s="67">
        <f t="shared" si="14"/>
        <v>0</v>
      </c>
      <c r="P61" s="68">
        <f t="shared" si="176"/>
        <v>0</v>
      </c>
      <c r="Q61" s="115"/>
      <c r="R61" s="67">
        <f t="shared" si="0"/>
        <v>0</v>
      </c>
      <c r="S61" s="68">
        <f t="shared" si="177"/>
        <v>0</v>
      </c>
      <c r="U61" s="115"/>
      <c r="V61" s="67">
        <f t="shared" si="1"/>
        <v>0</v>
      </c>
      <c r="W61" s="68">
        <f t="shared" si="178"/>
        <v>0</v>
      </c>
      <c r="X61" s="115"/>
      <c r="Y61" s="67">
        <f t="shared" si="2"/>
        <v>0</v>
      </c>
      <c r="Z61" s="68">
        <f t="shared" si="179"/>
        <v>0</v>
      </c>
      <c r="AB61" s="115">
        <f t="shared" si="193"/>
        <v>5411.69</v>
      </c>
      <c r="AC61" s="67">
        <f t="shared" si="3"/>
        <v>2.4651290175574742E-2</v>
      </c>
      <c r="AD61" s="68">
        <f t="shared" si="180"/>
        <v>79281.25</v>
      </c>
      <c r="AE61" s="115"/>
      <c r="AF61" s="67">
        <f t="shared" si="4"/>
        <v>0</v>
      </c>
      <c r="AG61" s="68">
        <f t="shared" si="181"/>
        <v>0</v>
      </c>
      <c r="AI61" s="115">
        <f t="shared" si="194"/>
        <v>5411.69</v>
      </c>
      <c r="AJ61" s="67">
        <f t="shared" si="5"/>
        <v>2.4651290175574742E-2</v>
      </c>
      <c r="AK61" s="68">
        <f t="shared" si="182"/>
        <v>79281.25</v>
      </c>
      <c r="AL61" s="115"/>
      <c r="AM61" s="67">
        <f t="shared" si="6"/>
        <v>0</v>
      </c>
      <c r="AN61" s="68">
        <f t="shared" si="183"/>
        <v>0</v>
      </c>
      <c r="AP61" s="115">
        <f t="shared" si="184"/>
        <v>5411.69</v>
      </c>
      <c r="AQ61" s="67">
        <f t="shared" si="7"/>
        <v>2.4651290175574742E-2</v>
      </c>
      <c r="AR61" s="68">
        <f t="shared" si="185"/>
        <v>79281.25</v>
      </c>
      <c r="AS61" s="115"/>
      <c r="AT61" s="67">
        <f t="shared" si="8"/>
        <v>0</v>
      </c>
      <c r="AU61" s="68">
        <f t="shared" si="186"/>
        <v>0</v>
      </c>
      <c r="AW61" s="115">
        <f t="shared" si="195"/>
        <v>5411.7099999999991</v>
      </c>
      <c r="AX61" s="67">
        <f t="shared" si="9"/>
        <v>2.4651389674672654E-2</v>
      </c>
      <c r="AY61" s="68">
        <f>L61-SUM(AD61,AK61,AR61)</f>
        <v>79281.570000000007</v>
      </c>
      <c r="AZ61" s="115"/>
      <c r="BA61" s="67">
        <f t="shared" si="10"/>
        <v>0</v>
      </c>
      <c r="BB61" s="68">
        <f t="shared" si="188"/>
        <v>0</v>
      </c>
      <c r="BD61" s="115">
        <f t="shared" si="189"/>
        <v>0</v>
      </c>
      <c r="BE61" s="67">
        <f t="shared" si="11"/>
        <v>0</v>
      </c>
      <c r="BF61" s="68">
        <f t="shared" si="190"/>
        <v>0</v>
      </c>
      <c r="BG61" s="133">
        <f t="shared" si="191"/>
        <v>21646.78</v>
      </c>
      <c r="BH61" s="67">
        <f t="shared" si="12"/>
        <v>9.8605260201396885E-2</v>
      </c>
      <c r="BI61" s="68">
        <f t="shared" si="192"/>
        <v>317125.32</v>
      </c>
      <c r="BJ61" s="117"/>
      <c r="BL61" s="92"/>
    </row>
    <row r="62" spans="1:64" x14ac:dyDescent="0.25">
      <c r="A62" s="99" t="str">
        <f>'01 - Orçamento Sintético'!A62</f>
        <v xml:space="preserve"> 3.1.3 </v>
      </c>
      <c r="B62" s="99"/>
      <c r="C62" s="99"/>
      <c r="D62" s="99" t="str">
        <f>'01 - Orçamento Sintético'!D62</f>
        <v>Esquadrias</v>
      </c>
      <c r="E62" s="99"/>
      <c r="F62" s="93"/>
      <c r="G62" s="69"/>
      <c r="H62" s="69"/>
      <c r="I62" s="69"/>
      <c r="J62" s="69"/>
      <c r="K62" s="69"/>
      <c r="L62" s="70">
        <f>INDEX('01 - Orçamento Sintético'!$A$6:$AB$125,MATCH('02 - Planilha de Medição'!$A62,'01 - Orçamento Sintético'!$A$6:$A$125,0),28)</f>
        <v>195137.08999999997</v>
      </c>
      <c r="N62" s="116"/>
      <c r="O62" s="120">
        <f t="shared" si="14"/>
        <v>0</v>
      </c>
      <c r="P62" s="70">
        <f>SUM(P63:P68)</f>
        <v>0</v>
      </c>
      <c r="Q62" s="116"/>
      <c r="R62" s="120">
        <f t="shared" si="0"/>
        <v>0</v>
      </c>
      <c r="S62" s="70">
        <f>SUM(S63:S68)</f>
        <v>0</v>
      </c>
      <c r="U62" s="116"/>
      <c r="V62" s="120">
        <f t="shared" si="1"/>
        <v>0</v>
      </c>
      <c r="W62" s="70">
        <f>SUM(W63:W68)</f>
        <v>0</v>
      </c>
      <c r="X62" s="116"/>
      <c r="Y62" s="120">
        <f t="shared" si="2"/>
        <v>0</v>
      </c>
      <c r="Z62" s="70">
        <f>SUM(Z63:Z68)</f>
        <v>0</v>
      </c>
      <c r="AB62" s="116"/>
      <c r="AC62" s="120">
        <f t="shared" si="3"/>
        <v>5.70896595948056E-3</v>
      </c>
      <c r="AD62" s="70">
        <f>SUM(AD63:AD68)</f>
        <v>18360.66</v>
      </c>
      <c r="AE62" s="116"/>
      <c r="AF62" s="120">
        <f t="shared" si="4"/>
        <v>0</v>
      </c>
      <c r="AG62" s="70">
        <f>SUM(AG63:AG68)</f>
        <v>0</v>
      </c>
      <c r="AI62" s="116"/>
      <c r="AJ62" s="120">
        <f t="shared" si="5"/>
        <v>5.70896595948056E-3</v>
      </c>
      <c r="AK62" s="70">
        <f>SUM(AK63:AK68)</f>
        <v>18360.66</v>
      </c>
      <c r="AL62" s="116"/>
      <c r="AM62" s="120">
        <f t="shared" si="6"/>
        <v>0</v>
      </c>
      <c r="AN62" s="70">
        <f>SUM(AN63:AN68)</f>
        <v>0</v>
      </c>
      <c r="AP62" s="116"/>
      <c r="AQ62" s="120">
        <f t="shared" si="7"/>
        <v>5.70896595948056E-3</v>
      </c>
      <c r="AR62" s="70">
        <f>SUM(AR63:AR68)</f>
        <v>18360.66</v>
      </c>
      <c r="AS62" s="116"/>
      <c r="AT62" s="120">
        <f t="shared" si="8"/>
        <v>0</v>
      </c>
      <c r="AU62" s="70">
        <f>SUM(AU63:AU68)</f>
        <v>0</v>
      </c>
      <c r="AW62" s="116"/>
      <c r="AX62" s="120">
        <f t="shared" si="9"/>
        <v>4.354799094593035E-2</v>
      </c>
      <c r="AY62" s="70">
        <f>SUM(AY63:AY68)</f>
        <v>140055.11000000002</v>
      </c>
      <c r="AZ62" s="116"/>
      <c r="BA62" s="120">
        <f t="shared" si="10"/>
        <v>0</v>
      </c>
      <c r="BB62" s="70">
        <f>SUM(BB63:BB68)</f>
        <v>0</v>
      </c>
      <c r="BD62" s="116"/>
      <c r="BE62" s="120">
        <f t="shared" si="11"/>
        <v>0</v>
      </c>
      <c r="BF62" s="70">
        <f>SUM(BF63:BF68)</f>
        <v>0</v>
      </c>
      <c r="BG62" s="134"/>
      <c r="BH62" s="120">
        <f t="shared" si="12"/>
        <v>6.0674888824372011E-2</v>
      </c>
      <c r="BI62" s="70">
        <f>SUM(BI63:BI68)</f>
        <v>195137.08999999997</v>
      </c>
      <c r="BJ62" s="117"/>
      <c r="BL62" s="92"/>
    </row>
    <row r="63" spans="1:64" ht="229.5" x14ac:dyDescent="0.25">
      <c r="A63" s="100" t="str">
        <f>'01 - Orçamento Sintético'!A63</f>
        <v xml:space="preserve"> 3.1.3.1 </v>
      </c>
      <c r="B63" s="101" t="str">
        <f>'01 - Orçamento Sintético'!B63</f>
        <v xml:space="preserve"> 90843 </v>
      </c>
      <c r="C63" s="100" t="str">
        <f>'01 - Orçamento Sintético'!C63</f>
        <v>SINAPI</v>
      </c>
      <c r="D63" s="100" t="str">
        <f>'01 - Orçamento Sintético'!D63</f>
        <v>KIT DE PORTA DE MADEIRA PARA PINTURA, SEMI-OCA (LEVE OU MÉDIA), PADRÃO MÉDIO, 80X210CM, ESPESSURA DE 3,5CM, ITENS INCLUSOS: DOBRADIÇAS, MONTAGEM E INSTALAÇÃO DO BATENTE, FECHADURA COM EXECUÇÃO DO FURO - FORNECIMENTO E INSTALAÇÃO. AF_12/2019</v>
      </c>
      <c r="E63" s="94" t="str">
        <f>'01 - Orçamento Sintético'!E63</f>
        <v>UN</v>
      </c>
      <c r="F63" s="94">
        <f>'01 - Orçamento Sintético'!F63</f>
        <v>25</v>
      </c>
      <c r="G63" s="68">
        <f>INDEX('01 - Orçamento Sintético'!$A$6:$AB$125,MATCH('02 - Planilha de Medição'!$A63,'01 - Orçamento Sintético'!$A$6:$A$125,0),23)</f>
        <v>345.13</v>
      </c>
      <c r="H63" s="68">
        <f>INDEX('01 - Orçamento Sintético'!$A$6:$AB$125,MATCH('02 - Planilha de Medição'!$A63,'01 - Orçamento Sintético'!$A$6:$A$125,0),24)</f>
        <v>1229.54</v>
      </c>
      <c r="I63" s="68">
        <f>INDEX('01 - Orçamento Sintético'!$A$6:$AB$125,MATCH('02 - Planilha de Medição'!$A63,'01 - Orçamento Sintético'!$A$6:$A$125,0),25)</f>
        <v>1574.67</v>
      </c>
      <c r="J63" s="68">
        <f>INDEX('01 - Orçamento Sintético'!$A$6:$AB$125,MATCH('02 - Planilha de Medição'!$A63,'01 - Orçamento Sintético'!$A$6:$A$125,0),26)</f>
        <v>8628.25</v>
      </c>
      <c r="K63" s="68">
        <f>INDEX('01 - Orçamento Sintético'!$A$6:$AB$125,MATCH('02 - Planilha de Medição'!$A63,'01 - Orçamento Sintético'!$A$6:$A$125,0),27)</f>
        <v>30738.5</v>
      </c>
      <c r="L63" s="68">
        <f>INDEX('01 - Orçamento Sintético'!$A$6:$AB$125,MATCH('02 - Planilha de Medição'!$A63,'01 - Orçamento Sintético'!$A$6:$A$125,0),28)</f>
        <v>39366.75</v>
      </c>
      <c r="N63" s="115"/>
      <c r="O63" s="67">
        <f t="shared" si="14"/>
        <v>0</v>
      </c>
      <c r="P63" s="68">
        <f t="shared" ref="P63:P68" si="196">TRUNC(N63*$I63,2)</f>
        <v>0</v>
      </c>
      <c r="Q63" s="115"/>
      <c r="R63" s="67">
        <f t="shared" si="0"/>
        <v>0</v>
      </c>
      <c r="S63" s="68">
        <f t="shared" ref="S63:S68" si="197">TRUNC(Q63*$I63,2)</f>
        <v>0</v>
      </c>
      <c r="U63" s="115"/>
      <c r="V63" s="67">
        <f t="shared" si="1"/>
        <v>0</v>
      </c>
      <c r="W63" s="68">
        <f t="shared" ref="W63:W68" si="198">TRUNC(U63*$I63,2)</f>
        <v>0</v>
      </c>
      <c r="X63" s="115"/>
      <c r="Y63" s="67">
        <f t="shared" si="2"/>
        <v>0</v>
      </c>
      <c r="Z63" s="68">
        <f t="shared" ref="Z63:Z68" si="199">TRUNC(X63*$I63,2)</f>
        <v>0</v>
      </c>
      <c r="AB63" s="115"/>
      <c r="AC63" s="67">
        <f t="shared" si="3"/>
        <v>0</v>
      </c>
      <c r="AD63" s="68">
        <f t="shared" ref="AD63:AD68" si="200">TRUNC(AB63*$I63,2)</f>
        <v>0</v>
      </c>
      <c r="AE63" s="115"/>
      <c r="AF63" s="67">
        <f t="shared" si="4"/>
        <v>0</v>
      </c>
      <c r="AG63" s="68">
        <f t="shared" ref="AG63:AG68" si="201">TRUNC(AE63*$I63,2)</f>
        <v>0</v>
      </c>
      <c r="AI63" s="115"/>
      <c r="AJ63" s="67">
        <f t="shared" si="5"/>
        <v>0</v>
      </c>
      <c r="AK63" s="68">
        <f t="shared" ref="AK63:AK68" si="202">TRUNC(AI63*$I63,2)</f>
        <v>0</v>
      </c>
      <c r="AL63" s="115"/>
      <c r="AM63" s="67">
        <f t="shared" si="6"/>
        <v>0</v>
      </c>
      <c r="AN63" s="68">
        <f t="shared" ref="AN63:AN68" si="203">TRUNC(AL63*$I63,2)</f>
        <v>0</v>
      </c>
      <c r="AP63" s="115"/>
      <c r="AQ63" s="67">
        <f t="shared" si="7"/>
        <v>0</v>
      </c>
      <c r="AR63" s="68">
        <f t="shared" ref="AR63:AR68" si="204">TRUNC(AP63*$I63,2)</f>
        <v>0</v>
      </c>
      <c r="AS63" s="115"/>
      <c r="AT63" s="67">
        <f t="shared" si="8"/>
        <v>0</v>
      </c>
      <c r="AU63" s="68">
        <f t="shared" ref="AU63:AU68" si="205">TRUNC(AS63*$I63,2)</f>
        <v>0</v>
      </c>
      <c r="AW63" s="115">
        <f>F63</f>
        <v>25</v>
      </c>
      <c r="AX63" s="67">
        <f t="shared" si="9"/>
        <v>1.2240487852036982E-2</v>
      </c>
      <c r="AY63" s="68">
        <f t="shared" ref="AY63:AY68" si="206">TRUNC(AW63*$I63,2)</f>
        <v>39366.75</v>
      </c>
      <c r="AZ63" s="115"/>
      <c r="BA63" s="67">
        <f t="shared" si="10"/>
        <v>0</v>
      </c>
      <c r="BB63" s="68">
        <f t="shared" ref="BB63:BB68" si="207">TRUNC(AZ63*$I63,2)</f>
        <v>0</v>
      </c>
      <c r="BD63" s="115">
        <f t="shared" ref="BD63:BD68" si="208">SUM(Q63,X63,AE63,AL63,AS63,AZ63)</f>
        <v>0</v>
      </c>
      <c r="BE63" s="67">
        <f t="shared" si="11"/>
        <v>0</v>
      </c>
      <c r="BF63" s="68">
        <f t="shared" ref="BF63:BF68" si="209">TRUNC(BD63*$I63,2)</f>
        <v>0</v>
      </c>
      <c r="BG63" s="133">
        <f t="shared" ref="BG63:BG68" si="210">$F63-BD63</f>
        <v>25</v>
      </c>
      <c r="BH63" s="67">
        <f t="shared" si="12"/>
        <v>1.2240487852036982E-2</v>
      </c>
      <c r="BI63" s="68">
        <f t="shared" ref="BI63:BI68" si="211">TRUNC(BG63*$I63,2)</f>
        <v>39366.75</v>
      </c>
      <c r="BJ63" s="117"/>
      <c r="BL63" s="92"/>
    </row>
    <row r="64" spans="1:64" ht="89.25" x14ac:dyDescent="0.25">
      <c r="A64" s="100" t="str">
        <f>'01 - Orçamento Sintético'!A64</f>
        <v xml:space="preserve"> 3.1.3.2 </v>
      </c>
      <c r="B64" s="101" t="str">
        <f>'01 - Orçamento Sintético'!B64</f>
        <v xml:space="preserve"> 102229 </v>
      </c>
      <c r="C64" s="100" t="str">
        <f>'01 - Orçamento Sintético'!C64</f>
        <v>SINAPI</v>
      </c>
      <c r="D64" s="100" t="str">
        <f>'01 - Orçamento Sintético'!D64</f>
        <v>PINTURA TINTA DE ACABAMENTO (PIGMENTADA) ESMALTE SINTÉTICO ACETINADO EM MADEIRA, 3 DEMÃOS. AF_01/2021</v>
      </c>
      <c r="E64" s="94" t="str">
        <f>'01 - Orçamento Sintético'!E64</f>
        <v>m²</v>
      </c>
      <c r="F64" s="94">
        <f>'01 - Orçamento Sintético'!F64</f>
        <v>558.04</v>
      </c>
      <c r="G64" s="68">
        <f>INDEX('01 - Orçamento Sintético'!$A$6:$AB$125,MATCH('02 - Planilha de Medição'!$A64,'01 - Orçamento Sintético'!$A$6:$A$125,0),23)</f>
        <v>18.86</v>
      </c>
      <c r="H64" s="68">
        <f>INDEX('01 - Orçamento Sintético'!$A$6:$AB$125,MATCH('02 - Planilha de Medição'!$A64,'01 - Orçamento Sintético'!$A$6:$A$125,0),24)</f>
        <v>18.509999999999998</v>
      </c>
      <c r="I64" s="68">
        <f>INDEX('01 - Orçamento Sintético'!$A$6:$AB$125,MATCH('02 - Planilha de Medição'!$A64,'01 - Orçamento Sintético'!$A$6:$A$125,0),25)</f>
        <v>37.369999999999997</v>
      </c>
      <c r="J64" s="68">
        <f>INDEX('01 - Orçamento Sintético'!$A$6:$AB$125,MATCH('02 - Planilha de Medição'!$A64,'01 - Orçamento Sintético'!$A$6:$A$125,0),26)</f>
        <v>10524.63</v>
      </c>
      <c r="K64" s="68">
        <f>INDEX('01 - Orçamento Sintético'!$A$6:$AB$125,MATCH('02 - Planilha de Medição'!$A64,'01 - Orçamento Sintético'!$A$6:$A$125,0),27)</f>
        <v>10329.320000000002</v>
      </c>
      <c r="L64" s="68">
        <f>INDEX('01 - Orçamento Sintético'!$A$6:$AB$125,MATCH('02 - Planilha de Medição'!$A64,'01 - Orçamento Sintético'!$A$6:$A$125,0),28)</f>
        <v>20853.95</v>
      </c>
      <c r="N64" s="115"/>
      <c r="O64" s="67">
        <f t="shared" si="14"/>
        <v>0</v>
      </c>
      <c r="P64" s="68">
        <f t="shared" si="196"/>
        <v>0</v>
      </c>
      <c r="Q64" s="115"/>
      <c r="R64" s="67">
        <f t="shared" si="0"/>
        <v>0</v>
      </c>
      <c r="S64" s="68">
        <f t="shared" si="197"/>
        <v>0</v>
      </c>
      <c r="U64" s="115"/>
      <c r="V64" s="67">
        <f t="shared" si="1"/>
        <v>0</v>
      </c>
      <c r="W64" s="68">
        <f t="shared" si="198"/>
        <v>0</v>
      </c>
      <c r="X64" s="115"/>
      <c r="Y64" s="67">
        <f t="shared" si="2"/>
        <v>0</v>
      </c>
      <c r="Z64" s="68">
        <f t="shared" si="199"/>
        <v>0</v>
      </c>
      <c r="AB64" s="115"/>
      <c r="AC64" s="67">
        <f t="shared" si="3"/>
        <v>0</v>
      </c>
      <c r="AD64" s="68">
        <f t="shared" si="200"/>
        <v>0</v>
      </c>
      <c r="AE64" s="115"/>
      <c r="AF64" s="67">
        <f t="shared" si="4"/>
        <v>0</v>
      </c>
      <c r="AG64" s="68">
        <f t="shared" si="201"/>
        <v>0</v>
      </c>
      <c r="AI64" s="115"/>
      <c r="AJ64" s="67">
        <f t="shared" si="5"/>
        <v>0</v>
      </c>
      <c r="AK64" s="68">
        <f t="shared" si="202"/>
        <v>0</v>
      </c>
      <c r="AL64" s="115"/>
      <c r="AM64" s="67">
        <f t="shared" si="6"/>
        <v>0</v>
      </c>
      <c r="AN64" s="68">
        <f t="shared" si="203"/>
        <v>0</v>
      </c>
      <c r="AP64" s="115"/>
      <c r="AQ64" s="67">
        <f t="shared" si="7"/>
        <v>0</v>
      </c>
      <c r="AR64" s="68">
        <f t="shared" si="204"/>
        <v>0</v>
      </c>
      <c r="AS64" s="115"/>
      <c r="AT64" s="67">
        <f t="shared" si="8"/>
        <v>0</v>
      </c>
      <c r="AU64" s="68">
        <f t="shared" si="205"/>
        <v>0</v>
      </c>
      <c r="AW64" s="115">
        <f t="shared" ref="AW64:AW68" si="212">F64</f>
        <v>558.04</v>
      </c>
      <c r="AX64" s="67">
        <f t="shared" si="9"/>
        <v>6.4842162901937962E-3</v>
      </c>
      <c r="AY64" s="68">
        <f t="shared" si="206"/>
        <v>20853.95</v>
      </c>
      <c r="AZ64" s="115"/>
      <c r="BA64" s="67">
        <f t="shared" si="10"/>
        <v>0</v>
      </c>
      <c r="BB64" s="68">
        <f t="shared" si="207"/>
        <v>0</v>
      </c>
      <c r="BD64" s="115">
        <f t="shared" si="208"/>
        <v>0</v>
      </c>
      <c r="BE64" s="67">
        <f t="shared" si="11"/>
        <v>0</v>
      </c>
      <c r="BF64" s="68">
        <f t="shared" si="209"/>
        <v>0</v>
      </c>
      <c r="BG64" s="133">
        <f t="shared" si="210"/>
        <v>558.04</v>
      </c>
      <c r="BH64" s="67">
        <f t="shared" si="12"/>
        <v>6.4842162901937962E-3</v>
      </c>
      <c r="BI64" s="68">
        <f t="shared" si="211"/>
        <v>20853.95</v>
      </c>
      <c r="BJ64" s="117"/>
      <c r="BL64" s="92"/>
    </row>
    <row r="65" spans="1:64" ht="25.5" x14ac:dyDescent="0.25">
      <c r="A65" s="100" t="str">
        <f>'01 - Orçamento Sintético'!A65</f>
        <v xml:space="preserve"> 3.1.3.3 </v>
      </c>
      <c r="B65" s="101" t="str">
        <f>'01 - Orçamento Sintético'!B65</f>
        <v xml:space="preserve"> 9635 </v>
      </c>
      <c r="C65" s="100" t="str">
        <f>'01 - Orçamento Sintético'!C65</f>
        <v>ORSE</v>
      </c>
      <c r="D65" s="100" t="str">
        <f>'01 - Orçamento Sintético'!D65</f>
        <v>Esquadria de alumínio tubular</v>
      </c>
      <c r="E65" s="94" t="str">
        <f>'01 - Orçamento Sintético'!E65</f>
        <v>m²</v>
      </c>
      <c r="F65" s="94">
        <f>'01 - Orçamento Sintético'!F65</f>
        <v>152.86000000000001</v>
      </c>
      <c r="G65" s="68">
        <f>INDEX('01 - Orçamento Sintético'!$A$6:$AB$125,MATCH('02 - Planilha de Medição'!$A65,'01 - Orçamento Sintético'!$A$6:$A$125,0),23)</f>
        <v>68.84</v>
      </c>
      <c r="H65" s="68">
        <f>INDEX('01 - Orçamento Sintético'!$A$6:$AB$125,MATCH('02 - Planilha de Medição'!$A65,'01 - Orçamento Sintético'!$A$6:$A$125,0),24)</f>
        <v>411.67999999999995</v>
      </c>
      <c r="I65" s="68">
        <f>INDEX('01 - Orçamento Sintético'!$A$6:$AB$125,MATCH('02 - Planilha de Medição'!$A65,'01 - Orçamento Sintético'!$A$6:$A$125,0),25)</f>
        <v>480.52</v>
      </c>
      <c r="J65" s="68">
        <f>INDEX('01 - Orçamento Sintético'!$A$6:$AB$125,MATCH('02 - Planilha de Medição'!$A65,'01 - Orçamento Sintético'!$A$6:$A$125,0),26)</f>
        <v>10522.88</v>
      </c>
      <c r="K65" s="68">
        <f>INDEX('01 - Orçamento Sintético'!$A$6:$AB$125,MATCH('02 - Planilha de Medição'!$A65,'01 - Orçamento Sintético'!$A$6:$A$125,0),27)</f>
        <v>62929.4</v>
      </c>
      <c r="L65" s="68">
        <f>INDEX('01 - Orçamento Sintético'!$A$6:$AB$125,MATCH('02 - Planilha de Medição'!$A65,'01 - Orçamento Sintético'!$A$6:$A$125,0),28)</f>
        <v>73452.28</v>
      </c>
      <c r="N65" s="115"/>
      <c r="O65" s="67">
        <f t="shared" si="14"/>
        <v>0</v>
      </c>
      <c r="P65" s="68">
        <f t="shared" si="196"/>
        <v>0</v>
      </c>
      <c r="Q65" s="115"/>
      <c r="R65" s="67">
        <f t="shared" si="0"/>
        <v>0</v>
      </c>
      <c r="S65" s="68">
        <f t="shared" si="197"/>
        <v>0</v>
      </c>
      <c r="U65" s="115"/>
      <c r="V65" s="67">
        <f t="shared" si="1"/>
        <v>0</v>
      </c>
      <c r="W65" s="68">
        <f t="shared" si="198"/>
        <v>0</v>
      </c>
      <c r="X65" s="115"/>
      <c r="Y65" s="67">
        <f t="shared" si="2"/>
        <v>0</v>
      </c>
      <c r="Z65" s="68">
        <f t="shared" si="199"/>
        <v>0</v>
      </c>
      <c r="AB65" s="115">
        <f>TRUNC($F65/4,2)</f>
        <v>38.21</v>
      </c>
      <c r="AC65" s="67">
        <f t="shared" si="3"/>
        <v>5.70896595948056E-3</v>
      </c>
      <c r="AD65" s="68">
        <f t="shared" si="200"/>
        <v>18360.66</v>
      </c>
      <c r="AE65" s="115"/>
      <c r="AF65" s="67">
        <f t="shared" si="4"/>
        <v>0</v>
      </c>
      <c r="AG65" s="68">
        <f t="shared" si="201"/>
        <v>0</v>
      </c>
      <c r="AI65" s="115">
        <f>TRUNC($F65/4,2)</f>
        <v>38.21</v>
      </c>
      <c r="AJ65" s="67">
        <f t="shared" si="5"/>
        <v>5.70896595948056E-3</v>
      </c>
      <c r="AK65" s="68">
        <f t="shared" si="202"/>
        <v>18360.66</v>
      </c>
      <c r="AL65" s="115"/>
      <c r="AM65" s="67">
        <f t="shared" si="6"/>
        <v>0</v>
      </c>
      <c r="AN65" s="68">
        <f t="shared" si="203"/>
        <v>0</v>
      </c>
      <c r="AP65" s="115">
        <f>TRUNC($F65/4,2)</f>
        <v>38.21</v>
      </c>
      <c r="AQ65" s="67">
        <f t="shared" si="7"/>
        <v>5.70896595948056E-3</v>
      </c>
      <c r="AR65" s="68">
        <f t="shared" si="204"/>
        <v>18360.66</v>
      </c>
      <c r="AS65" s="115"/>
      <c r="AT65" s="67">
        <f t="shared" si="8"/>
        <v>0</v>
      </c>
      <c r="AU65" s="68">
        <f t="shared" si="205"/>
        <v>0</v>
      </c>
      <c r="AW65" s="115">
        <f>F65-SUM(AP65,AI65,AB65)</f>
        <v>38.230000000000018</v>
      </c>
      <c r="AX65" s="67">
        <f t="shared" si="9"/>
        <v>5.7119633698051028E-3</v>
      </c>
      <c r="AY65" s="68">
        <f>L65-SUM(AR65,AK65,AD65)</f>
        <v>18370.300000000003</v>
      </c>
      <c r="AZ65" s="115"/>
      <c r="BA65" s="67">
        <f t="shared" si="10"/>
        <v>0</v>
      </c>
      <c r="BB65" s="68">
        <f t="shared" si="207"/>
        <v>0</v>
      </c>
      <c r="BD65" s="115">
        <f t="shared" si="208"/>
        <v>0</v>
      </c>
      <c r="BE65" s="67">
        <f t="shared" si="11"/>
        <v>0</v>
      </c>
      <c r="BF65" s="68">
        <f t="shared" si="209"/>
        <v>0</v>
      </c>
      <c r="BG65" s="133">
        <f t="shared" si="210"/>
        <v>152.86000000000001</v>
      </c>
      <c r="BH65" s="67">
        <f t="shared" si="12"/>
        <v>2.2838861248246783E-2</v>
      </c>
      <c r="BI65" s="68">
        <f t="shared" si="211"/>
        <v>73452.28</v>
      </c>
      <c r="BJ65" s="117"/>
      <c r="BL65" s="92"/>
    </row>
    <row r="66" spans="1:64" ht="102" x14ac:dyDescent="0.25">
      <c r="A66" s="100" t="str">
        <f>'01 - Orçamento Sintético'!A66</f>
        <v xml:space="preserve"> 3.1.3.4 </v>
      </c>
      <c r="B66" s="101" t="str">
        <f>'01 - Orçamento Sintético'!B66</f>
        <v xml:space="preserve"> 102164 </v>
      </c>
      <c r="C66" s="100" t="str">
        <f>'01 - Orçamento Sintético'!C66</f>
        <v>SINAPI</v>
      </c>
      <c r="D66" s="100" t="str">
        <f>'01 - Orçamento Sintético'!D66</f>
        <v>INSTALAÇÃO DE VIDRO LISO INCOLOR, E = 5 MM, EM ESQUADRIA DE ALUMÍNIO OU PVC, FIXADO COM BAGUETE. AF_01/2021_PS</v>
      </c>
      <c r="E66" s="94" t="str">
        <f>'01 - Orçamento Sintético'!E66</f>
        <v>m²</v>
      </c>
      <c r="F66" s="94">
        <f>'01 - Orçamento Sintético'!F66</f>
        <v>113.24</v>
      </c>
      <c r="G66" s="68">
        <f>INDEX('01 - Orçamento Sintético'!$A$6:$AB$125,MATCH('02 - Planilha de Medição'!$A66,'01 - Orçamento Sintético'!$A$6:$A$125,0),23)</f>
        <v>35.36</v>
      </c>
      <c r="H66" s="68">
        <f>INDEX('01 - Orçamento Sintético'!$A$6:$AB$125,MATCH('02 - Planilha de Medição'!$A66,'01 - Orçamento Sintético'!$A$6:$A$125,0),24)</f>
        <v>331.12</v>
      </c>
      <c r="I66" s="68">
        <f>INDEX('01 - Orçamento Sintético'!$A$6:$AB$125,MATCH('02 - Planilha de Medição'!$A66,'01 - Orçamento Sintético'!$A$6:$A$125,0),25)</f>
        <v>366.48</v>
      </c>
      <c r="J66" s="68">
        <f>INDEX('01 - Orçamento Sintético'!$A$6:$AB$125,MATCH('02 - Planilha de Medição'!$A66,'01 - Orçamento Sintético'!$A$6:$A$125,0),26)</f>
        <v>4004.16</v>
      </c>
      <c r="K66" s="68">
        <f>INDEX('01 - Orçamento Sintético'!$A$6:$AB$125,MATCH('02 - Planilha de Medição'!$A66,'01 - Orçamento Sintético'!$A$6:$A$125,0),27)</f>
        <v>37496.03</v>
      </c>
      <c r="L66" s="68">
        <f>INDEX('01 - Orçamento Sintético'!$A$6:$AB$125,MATCH('02 - Planilha de Medição'!$A66,'01 - Orçamento Sintético'!$A$6:$A$125,0),28)</f>
        <v>41500.19</v>
      </c>
      <c r="N66" s="115"/>
      <c r="O66" s="67">
        <f t="shared" si="14"/>
        <v>0</v>
      </c>
      <c r="P66" s="68">
        <f t="shared" si="196"/>
        <v>0</v>
      </c>
      <c r="Q66" s="115"/>
      <c r="R66" s="67">
        <f t="shared" si="0"/>
        <v>0</v>
      </c>
      <c r="S66" s="68">
        <f t="shared" si="197"/>
        <v>0</v>
      </c>
      <c r="U66" s="115"/>
      <c r="V66" s="67">
        <f t="shared" si="1"/>
        <v>0</v>
      </c>
      <c r="W66" s="68">
        <f t="shared" si="198"/>
        <v>0</v>
      </c>
      <c r="X66" s="115"/>
      <c r="Y66" s="67">
        <f t="shared" si="2"/>
        <v>0</v>
      </c>
      <c r="Z66" s="68">
        <f t="shared" si="199"/>
        <v>0</v>
      </c>
      <c r="AB66" s="115"/>
      <c r="AC66" s="67">
        <f t="shared" si="3"/>
        <v>0</v>
      </c>
      <c r="AD66" s="68">
        <f t="shared" si="200"/>
        <v>0</v>
      </c>
      <c r="AE66" s="115"/>
      <c r="AF66" s="67">
        <f t="shared" si="4"/>
        <v>0</v>
      </c>
      <c r="AG66" s="68">
        <f t="shared" si="201"/>
        <v>0</v>
      </c>
      <c r="AI66" s="115"/>
      <c r="AJ66" s="67">
        <f t="shared" si="5"/>
        <v>0</v>
      </c>
      <c r="AK66" s="68">
        <f t="shared" si="202"/>
        <v>0</v>
      </c>
      <c r="AL66" s="115"/>
      <c r="AM66" s="67">
        <f t="shared" si="6"/>
        <v>0</v>
      </c>
      <c r="AN66" s="68">
        <f t="shared" si="203"/>
        <v>0</v>
      </c>
      <c r="AP66" s="115"/>
      <c r="AQ66" s="67">
        <f t="shared" si="7"/>
        <v>0</v>
      </c>
      <c r="AR66" s="68">
        <f t="shared" si="204"/>
        <v>0</v>
      </c>
      <c r="AS66" s="115"/>
      <c r="AT66" s="67">
        <f t="shared" si="8"/>
        <v>0</v>
      </c>
      <c r="AU66" s="68">
        <f t="shared" si="205"/>
        <v>0</v>
      </c>
      <c r="AW66" s="115">
        <f t="shared" si="212"/>
        <v>113.24</v>
      </c>
      <c r="AX66" s="67">
        <f t="shared" si="9"/>
        <v>1.2903848337803519E-2</v>
      </c>
      <c r="AY66" s="68">
        <f t="shared" si="206"/>
        <v>41500.19</v>
      </c>
      <c r="AZ66" s="115"/>
      <c r="BA66" s="67">
        <f t="shared" si="10"/>
        <v>0</v>
      </c>
      <c r="BB66" s="68">
        <f t="shared" si="207"/>
        <v>0</v>
      </c>
      <c r="BD66" s="115">
        <f t="shared" si="208"/>
        <v>0</v>
      </c>
      <c r="BE66" s="67">
        <f t="shared" si="11"/>
        <v>0</v>
      </c>
      <c r="BF66" s="68">
        <f t="shared" si="209"/>
        <v>0</v>
      </c>
      <c r="BG66" s="133">
        <f t="shared" si="210"/>
        <v>113.24</v>
      </c>
      <c r="BH66" s="67">
        <f t="shared" si="12"/>
        <v>1.2903848337803519E-2</v>
      </c>
      <c r="BI66" s="68">
        <f t="shared" si="211"/>
        <v>41500.19</v>
      </c>
      <c r="BJ66" s="117"/>
      <c r="BL66" s="92"/>
    </row>
    <row r="67" spans="1:64" ht="127.5" x14ac:dyDescent="0.25">
      <c r="A67" s="100" t="str">
        <f>'01 - Orçamento Sintético'!A67</f>
        <v xml:space="preserve"> 3.1.3.5 </v>
      </c>
      <c r="B67" s="101" t="str">
        <f>'01 - Orçamento Sintético'!B67</f>
        <v xml:space="preserve"> 5070 </v>
      </c>
      <c r="C67" s="100" t="str">
        <f>'01 - Orçamento Sintético'!C67</f>
        <v>ORSE</v>
      </c>
      <c r="D67" s="100" t="str">
        <f>'01 - Orçamento Sintético'!D67</f>
        <v>Pintura de acabamento com aplicação de 01 demão de tinta epoximastic de alumínio modificado, bicomponente, SUMATANE HS BRILHANTE, da Sherwin Williams - Sumaré ou similar - R1</v>
      </c>
      <c r="E67" s="94" t="str">
        <f>'01 - Orçamento Sintético'!E67</f>
        <v>m²</v>
      </c>
      <c r="F67" s="94">
        <f>'01 - Orçamento Sintético'!F67</f>
        <v>79.260000000000005</v>
      </c>
      <c r="G67" s="68">
        <f>INDEX('01 - Orçamento Sintético'!$A$6:$AB$125,MATCH('02 - Planilha de Medição'!$A67,'01 - Orçamento Sintético'!$A$6:$A$125,0),23)</f>
        <v>13.43</v>
      </c>
      <c r="H67" s="68">
        <f>INDEX('01 - Orçamento Sintético'!$A$6:$AB$125,MATCH('02 - Planilha de Medição'!$A67,'01 - Orçamento Sintético'!$A$6:$A$125,0),24)</f>
        <v>27.090000000000003</v>
      </c>
      <c r="I67" s="68">
        <f>INDEX('01 - Orçamento Sintético'!$A$6:$AB$125,MATCH('02 - Planilha de Medição'!$A67,'01 - Orçamento Sintético'!$A$6:$A$125,0),25)</f>
        <v>40.520000000000003</v>
      </c>
      <c r="J67" s="68">
        <f>INDEX('01 - Orçamento Sintético'!$A$6:$AB$125,MATCH('02 - Planilha de Medição'!$A67,'01 - Orçamento Sintético'!$A$6:$A$125,0),26)</f>
        <v>1064.46</v>
      </c>
      <c r="K67" s="68">
        <f>INDEX('01 - Orçamento Sintético'!$A$6:$AB$125,MATCH('02 - Planilha de Medição'!$A67,'01 - Orçamento Sintético'!$A$6:$A$125,0),27)</f>
        <v>2147.15</v>
      </c>
      <c r="L67" s="68">
        <f>INDEX('01 - Orçamento Sintético'!$A$6:$AB$125,MATCH('02 - Planilha de Medição'!$A67,'01 - Orçamento Sintético'!$A$6:$A$125,0),28)</f>
        <v>3211.61</v>
      </c>
      <c r="N67" s="115"/>
      <c r="O67" s="67">
        <f t="shared" si="14"/>
        <v>0</v>
      </c>
      <c r="P67" s="68">
        <f t="shared" si="196"/>
        <v>0</v>
      </c>
      <c r="Q67" s="115"/>
      <c r="R67" s="67">
        <f t="shared" si="0"/>
        <v>0</v>
      </c>
      <c r="S67" s="68">
        <f t="shared" si="197"/>
        <v>0</v>
      </c>
      <c r="U67" s="115"/>
      <c r="V67" s="67">
        <f t="shared" si="1"/>
        <v>0</v>
      </c>
      <c r="W67" s="68">
        <f t="shared" si="198"/>
        <v>0</v>
      </c>
      <c r="X67" s="115"/>
      <c r="Y67" s="67">
        <f t="shared" si="2"/>
        <v>0</v>
      </c>
      <c r="Z67" s="68">
        <f t="shared" si="199"/>
        <v>0</v>
      </c>
      <c r="AB67" s="115"/>
      <c r="AC67" s="67">
        <f t="shared" si="3"/>
        <v>0</v>
      </c>
      <c r="AD67" s="68">
        <f t="shared" si="200"/>
        <v>0</v>
      </c>
      <c r="AE67" s="115"/>
      <c r="AF67" s="67">
        <f t="shared" si="4"/>
        <v>0</v>
      </c>
      <c r="AG67" s="68">
        <f t="shared" si="201"/>
        <v>0</v>
      </c>
      <c r="AI67" s="115"/>
      <c r="AJ67" s="67">
        <f t="shared" si="5"/>
        <v>0</v>
      </c>
      <c r="AK67" s="68">
        <f t="shared" si="202"/>
        <v>0</v>
      </c>
      <c r="AL67" s="115"/>
      <c r="AM67" s="67">
        <f t="shared" si="6"/>
        <v>0</v>
      </c>
      <c r="AN67" s="68">
        <f t="shared" si="203"/>
        <v>0</v>
      </c>
      <c r="AP67" s="115"/>
      <c r="AQ67" s="67">
        <f t="shared" si="7"/>
        <v>0</v>
      </c>
      <c r="AR67" s="68">
        <f t="shared" si="204"/>
        <v>0</v>
      </c>
      <c r="AS67" s="115"/>
      <c r="AT67" s="67">
        <f t="shared" si="8"/>
        <v>0</v>
      </c>
      <c r="AU67" s="68">
        <f t="shared" si="205"/>
        <v>0</v>
      </c>
      <c r="AW67" s="115">
        <f t="shared" si="212"/>
        <v>79.260000000000005</v>
      </c>
      <c r="AX67" s="67">
        <f t="shared" si="9"/>
        <v>9.9860093074689914E-4</v>
      </c>
      <c r="AY67" s="68">
        <f t="shared" si="206"/>
        <v>3211.61</v>
      </c>
      <c r="AZ67" s="115"/>
      <c r="BA67" s="67">
        <f t="shared" si="10"/>
        <v>0</v>
      </c>
      <c r="BB67" s="68">
        <f t="shared" si="207"/>
        <v>0</v>
      </c>
      <c r="BD67" s="115">
        <f t="shared" si="208"/>
        <v>0</v>
      </c>
      <c r="BE67" s="67">
        <f t="shared" si="11"/>
        <v>0</v>
      </c>
      <c r="BF67" s="68">
        <f t="shared" si="209"/>
        <v>0</v>
      </c>
      <c r="BG67" s="133">
        <f t="shared" si="210"/>
        <v>79.260000000000005</v>
      </c>
      <c r="BH67" s="67">
        <f t="shared" si="12"/>
        <v>9.9860093074689914E-4</v>
      </c>
      <c r="BI67" s="68">
        <f t="shared" si="211"/>
        <v>3211.61</v>
      </c>
      <c r="BJ67" s="117"/>
      <c r="BL67" s="92"/>
    </row>
    <row r="68" spans="1:64" ht="25.5" x14ac:dyDescent="0.25">
      <c r="A68" s="100" t="str">
        <f>'01 - Orçamento Sintético'!A68</f>
        <v xml:space="preserve"> 3.1.3.6 </v>
      </c>
      <c r="B68" s="101" t="str">
        <f>'01 - Orçamento Sintético'!B68</f>
        <v xml:space="preserve"> 8759 </v>
      </c>
      <c r="C68" s="100" t="str">
        <f>'01 - Orçamento Sintético'!C68</f>
        <v>ORSE</v>
      </c>
      <c r="D68" s="100" t="str">
        <f>'01 - Orçamento Sintético'!D68</f>
        <v>Corrimão em aço inox ø=1 1/2", duplo, h=90cm</v>
      </c>
      <c r="E68" s="94" t="str">
        <f>'01 - Orçamento Sintético'!E68</f>
        <v>m</v>
      </c>
      <c r="F68" s="94">
        <f>'01 - Orçamento Sintético'!F68</f>
        <v>41.95</v>
      </c>
      <c r="G68" s="68">
        <f>INDEX('01 - Orçamento Sintético'!$A$6:$AB$125,MATCH('02 - Planilha de Medição'!$A68,'01 - Orçamento Sintético'!$A$6:$A$125,0),23)</f>
        <v>56.81</v>
      </c>
      <c r="H68" s="68">
        <f>INDEX('01 - Orçamento Sintético'!$A$6:$AB$125,MATCH('02 - Planilha de Medição'!$A68,'01 - Orçamento Sintético'!$A$6:$A$125,0),24)</f>
        <v>342.53</v>
      </c>
      <c r="I68" s="68">
        <f>INDEX('01 - Orçamento Sintético'!$A$6:$AB$125,MATCH('02 - Planilha de Medição'!$A68,'01 - Orçamento Sintético'!$A$6:$A$125,0),25)</f>
        <v>399.34</v>
      </c>
      <c r="J68" s="68">
        <f>INDEX('01 - Orçamento Sintético'!$A$6:$AB$125,MATCH('02 - Planilha de Medição'!$A68,'01 - Orçamento Sintético'!$A$6:$A$125,0),26)</f>
        <v>2383.17</v>
      </c>
      <c r="K68" s="68">
        <f>INDEX('01 - Orçamento Sintético'!$A$6:$AB$125,MATCH('02 - Planilha de Medição'!$A68,'01 - Orçamento Sintético'!$A$6:$A$125,0),27)</f>
        <v>14369.140000000001</v>
      </c>
      <c r="L68" s="68">
        <f>INDEX('01 - Orçamento Sintético'!$A$6:$AB$125,MATCH('02 - Planilha de Medição'!$A68,'01 - Orçamento Sintético'!$A$6:$A$125,0),28)</f>
        <v>16752.310000000001</v>
      </c>
      <c r="N68" s="115"/>
      <c r="O68" s="67">
        <f t="shared" si="14"/>
        <v>0</v>
      </c>
      <c r="P68" s="68">
        <f t="shared" si="196"/>
        <v>0</v>
      </c>
      <c r="Q68" s="115"/>
      <c r="R68" s="67">
        <f t="shared" si="0"/>
        <v>0</v>
      </c>
      <c r="S68" s="68">
        <f t="shared" si="197"/>
        <v>0</v>
      </c>
      <c r="U68" s="115"/>
      <c r="V68" s="67">
        <f t="shared" si="1"/>
        <v>0</v>
      </c>
      <c r="W68" s="68">
        <f t="shared" si="198"/>
        <v>0</v>
      </c>
      <c r="X68" s="115"/>
      <c r="Y68" s="67">
        <f t="shared" si="2"/>
        <v>0</v>
      </c>
      <c r="Z68" s="68">
        <f t="shared" si="199"/>
        <v>0</v>
      </c>
      <c r="AB68" s="115"/>
      <c r="AC68" s="67">
        <f t="shared" si="3"/>
        <v>0</v>
      </c>
      <c r="AD68" s="68">
        <f t="shared" si="200"/>
        <v>0</v>
      </c>
      <c r="AE68" s="115"/>
      <c r="AF68" s="67">
        <f t="shared" si="4"/>
        <v>0</v>
      </c>
      <c r="AG68" s="68">
        <f t="shared" si="201"/>
        <v>0</v>
      </c>
      <c r="AI68" s="115"/>
      <c r="AJ68" s="67">
        <f t="shared" si="5"/>
        <v>0</v>
      </c>
      <c r="AK68" s="68">
        <f t="shared" si="202"/>
        <v>0</v>
      </c>
      <c r="AL68" s="115"/>
      <c r="AM68" s="67">
        <f t="shared" si="6"/>
        <v>0</v>
      </c>
      <c r="AN68" s="68">
        <f t="shared" si="203"/>
        <v>0</v>
      </c>
      <c r="AP68" s="115"/>
      <c r="AQ68" s="67">
        <f t="shared" si="7"/>
        <v>0</v>
      </c>
      <c r="AR68" s="68">
        <f t="shared" si="204"/>
        <v>0</v>
      </c>
      <c r="AS68" s="115"/>
      <c r="AT68" s="67">
        <f t="shared" si="8"/>
        <v>0</v>
      </c>
      <c r="AU68" s="68">
        <f t="shared" si="205"/>
        <v>0</v>
      </c>
      <c r="AW68" s="115">
        <f t="shared" si="212"/>
        <v>41.95</v>
      </c>
      <c r="AX68" s="67">
        <f t="shared" si="9"/>
        <v>5.2088741653440445E-3</v>
      </c>
      <c r="AY68" s="68">
        <f t="shared" si="206"/>
        <v>16752.310000000001</v>
      </c>
      <c r="AZ68" s="115"/>
      <c r="BA68" s="67">
        <f t="shared" si="10"/>
        <v>0</v>
      </c>
      <c r="BB68" s="68">
        <f t="shared" si="207"/>
        <v>0</v>
      </c>
      <c r="BD68" s="115">
        <f t="shared" si="208"/>
        <v>0</v>
      </c>
      <c r="BE68" s="67">
        <f t="shared" si="11"/>
        <v>0</v>
      </c>
      <c r="BF68" s="68">
        <f t="shared" si="209"/>
        <v>0</v>
      </c>
      <c r="BG68" s="133">
        <f t="shared" si="210"/>
        <v>41.95</v>
      </c>
      <c r="BH68" s="67">
        <f t="shared" si="12"/>
        <v>5.2088741653440445E-3</v>
      </c>
      <c r="BI68" s="68">
        <f t="shared" si="211"/>
        <v>16752.310000000001</v>
      </c>
      <c r="BJ68" s="117"/>
      <c r="BL68" s="92"/>
    </row>
    <row r="69" spans="1:64" ht="25.5" x14ac:dyDescent="0.25">
      <c r="A69" s="99" t="str">
        <f>'01 - Orçamento Sintético'!A69</f>
        <v xml:space="preserve"> 3.1.4 </v>
      </c>
      <c r="B69" s="99"/>
      <c r="C69" s="99"/>
      <c r="D69" s="99" t="str">
        <f>'01 - Orçamento Sintético'!D69</f>
        <v>Banheiros para acessibilidade</v>
      </c>
      <c r="E69" s="99"/>
      <c r="F69" s="93"/>
      <c r="G69" s="69"/>
      <c r="H69" s="69"/>
      <c r="I69" s="69"/>
      <c r="J69" s="69"/>
      <c r="K69" s="69"/>
      <c r="L69" s="70">
        <f>INDEX('01 - Orçamento Sintético'!$A$6:$AB$125,MATCH('02 - Planilha de Medição'!$A69,'01 - Orçamento Sintético'!$A$6:$A$125,0),28)</f>
        <v>19593.729999999996</v>
      </c>
      <c r="N69" s="116"/>
      <c r="O69" s="120">
        <f t="shared" si="14"/>
        <v>0</v>
      </c>
      <c r="P69" s="70">
        <f>SUM(P70:P81)</f>
        <v>0</v>
      </c>
      <c r="Q69" s="116"/>
      <c r="R69" s="120">
        <f t="shared" si="0"/>
        <v>0</v>
      </c>
      <c r="S69" s="70">
        <f>SUM(S70:S81)</f>
        <v>0</v>
      </c>
      <c r="U69" s="116"/>
      <c r="V69" s="120">
        <f t="shared" si="1"/>
        <v>0</v>
      </c>
      <c r="W69" s="70">
        <f>SUM(W70:W81)</f>
        <v>0</v>
      </c>
      <c r="X69" s="116"/>
      <c r="Y69" s="120">
        <f t="shared" si="2"/>
        <v>0</v>
      </c>
      <c r="Z69" s="70">
        <f>SUM(Z70:Z81)</f>
        <v>0</v>
      </c>
      <c r="AB69" s="116"/>
      <c r="AC69" s="120">
        <f t="shared" si="3"/>
        <v>0</v>
      </c>
      <c r="AD69" s="70">
        <f>SUM(AD70:AD81)</f>
        <v>0</v>
      </c>
      <c r="AE69" s="116"/>
      <c r="AF69" s="120">
        <f t="shared" si="4"/>
        <v>0</v>
      </c>
      <c r="AG69" s="70">
        <f>SUM(AG70:AG81)</f>
        <v>0</v>
      </c>
      <c r="AI69" s="116"/>
      <c r="AJ69" s="120">
        <f t="shared" si="5"/>
        <v>0</v>
      </c>
      <c r="AK69" s="70">
        <f>SUM(AK70:AK81)</f>
        <v>0</v>
      </c>
      <c r="AL69" s="116"/>
      <c r="AM69" s="120">
        <f t="shared" si="6"/>
        <v>0</v>
      </c>
      <c r="AN69" s="70">
        <f>SUM(AN70:AN81)</f>
        <v>0</v>
      </c>
      <c r="AP69" s="116"/>
      <c r="AQ69" s="120">
        <f t="shared" si="7"/>
        <v>6.0923701865430229E-3</v>
      </c>
      <c r="AR69" s="70">
        <f>SUM(AR70:AR81)</f>
        <v>19593.729999999996</v>
      </c>
      <c r="AS69" s="116"/>
      <c r="AT69" s="120">
        <f t="shared" si="8"/>
        <v>0</v>
      </c>
      <c r="AU69" s="70">
        <f>SUM(AU70:AU81)</f>
        <v>0</v>
      </c>
      <c r="AW69" s="116"/>
      <c r="AX69" s="120">
        <f t="shared" si="9"/>
        <v>0</v>
      </c>
      <c r="AY69" s="70">
        <f>SUM(AY70:AY81)</f>
        <v>0</v>
      </c>
      <c r="AZ69" s="116"/>
      <c r="BA69" s="120">
        <f t="shared" si="10"/>
        <v>0</v>
      </c>
      <c r="BB69" s="70">
        <f>SUM(BB70:BB81)</f>
        <v>0</v>
      </c>
      <c r="BD69" s="116"/>
      <c r="BE69" s="120">
        <f t="shared" si="11"/>
        <v>0</v>
      </c>
      <c r="BF69" s="70">
        <f>SUM(BF70:BF81)</f>
        <v>0</v>
      </c>
      <c r="BG69" s="134"/>
      <c r="BH69" s="120">
        <f t="shared" si="12"/>
        <v>6.0923701865430229E-3</v>
      </c>
      <c r="BI69" s="70">
        <f>SUM(BI70:BI81)</f>
        <v>19593.729999999996</v>
      </c>
      <c r="BJ69" s="117"/>
      <c r="BL69" s="92"/>
    </row>
    <row r="70" spans="1:64" ht="38.25" x14ac:dyDescent="0.25">
      <c r="A70" s="100" t="str">
        <f>'01 - Orçamento Sintético'!A70</f>
        <v xml:space="preserve"> 3.1.4.1 </v>
      </c>
      <c r="B70" s="101" t="str">
        <f>'01 - Orçamento Sintético'!B70</f>
        <v xml:space="preserve"> 120033 </v>
      </c>
      <c r="C70" s="100" t="str">
        <f>'01 - Orçamento Sintético'!C70</f>
        <v>SBC</v>
      </c>
      <c r="D70" s="100" t="str">
        <f>'01 - Orçamento Sintético'!D70</f>
        <v>AZULEJO 30x60cm BOLD ANTARTIDA PORTOBELLO</v>
      </c>
      <c r="E70" s="94" t="str">
        <f>'01 - Orçamento Sintético'!E70</f>
        <v>m²</v>
      </c>
      <c r="F70" s="94">
        <f>'01 - Orçamento Sintético'!F70</f>
        <v>43.58</v>
      </c>
      <c r="G70" s="68">
        <f>INDEX('01 - Orçamento Sintético'!$A$6:$AB$125,MATCH('02 - Planilha de Medição'!$A70,'01 - Orçamento Sintético'!$A$6:$A$125,0),23)</f>
        <v>43.97</v>
      </c>
      <c r="H70" s="68">
        <f>INDEX('01 - Orçamento Sintético'!$A$6:$AB$125,MATCH('02 - Planilha de Medição'!$A70,'01 - Orçamento Sintético'!$A$6:$A$125,0),24)</f>
        <v>105.19999999999999</v>
      </c>
      <c r="I70" s="68">
        <f>INDEX('01 - Orçamento Sintético'!$A$6:$AB$125,MATCH('02 - Planilha de Medição'!$A70,'01 - Orçamento Sintético'!$A$6:$A$125,0),25)</f>
        <v>149.16999999999999</v>
      </c>
      <c r="J70" s="68">
        <f>INDEX('01 - Orçamento Sintético'!$A$6:$AB$125,MATCH('02 - Planilha de Medição'!$A70,'01 - Orçamento Sintético'!$A$6:$A$125,0),26)</f>
        <v>1916.21</v>
      </c>
      <c r="K70" s="68">
        <f>INDEX('01 - Orçamento Sintético'!$A$6:$AB$125,MATCH('02 - Planilha de Medição'!$A70,'01 - Orçamento Sintético'!$A$6:$A$125,0),27)</f>
        <v>4584.6099999999997</v>
      </c>
      <c r="L70" s="68">
        <f>INDEX('01 - Orçamento Sintético'!$A$6:$AB$125,MATCH('02 - Planilha de Medição'!$A70,'01 - Orçamento Sintético'!$A$6:$A$125,0),28)</f>
        <v>6500.82</v>
      </c>
      <c r="N70" s="115"/>
      <c r="O70" s="67">
        <f t="shared" si="14"/>
        <v>0</v>
      </c>
      <c r="P70" s="68">
        <f t="shared" ref="P70:P81" si="213">TRUNC(N70*$I70,2)</f>
        <v>0</v>
      </c>
      <c r="Q70" s="115"/>
      <c r="R70" s="67">
        <f t="shared" ref="R70:R125" si="214">S70/$K$128</f>
        <v>0</v>
      </c>
      <c r="S70" s="68">
        <f t="shared" ref="S70:S81" si="215">TRUNC(Q70*$I70,2)</f>
        <v>0</v>
      </c>
      <c r="U70" s="115"/>
      <c r="V70" s="67">
        <f t="shared" ref="V70:V125" si="216">W70/$K$128</f>
        <v>0</v>
      </c>
      <c r="W70" s="68">
        <f t="shared" ref="W70:W81" si="217">TRUNC(U70*$I70,2)</f>
        <v>0</v>
      </c>
      <c r="X70" s="115"/>
      <c r="Y70" s="67">
        <f t="shared" ref="Y70:Y125" si="218">Z70/$K$128</f>
        <v>0</v>
      </c>
      <c r="Z70" s="68">
        <f t="shared" ref="Z70:Z81" si="219">TRUNC(X70*$I70,2)</f>
        <v>0</v>
      </c>
      <c r="AB70" s="115"/>
      <c r="AC70" s="67">
        <f t="shared" ref="AC70:AC125" si="220">AD70/$K$128</f>
        <v>0</v>
      </c>
      <c r="AD70" s="68">
        <f t="shared" ref="AD70:AD81" si="221">TRUNC(AB70*$I70,2)</f>
        <v>0</v>
      </c>
      <c r="AE70" s="115"/>
      <c r="AF70" s="67">
        <f t="shared" ref="AF70:AF125" si="222">AG70/$K$128</f>
        <v>0</v>
      </c>
      <c r="AG70" s="68">
        <f t="shared" ref="AG70:AG81" si="223">TRUNC(AE70*$I70,2)</f>
        <v>0</v>
      </c>
      <c r="AI70" s="115"/>
      <c r="AJ70" s="67">
        <f t="shared" ref="AJ70:AJ125" si="224">AK70/$K$128</f>
        <v>0</v>
      </c>
      <c r="AK70" s="68">
        <f t="shared" ref="AK70:AK81" si="225">TRUNC(AI70*$I70,2)</f>
        <v>0</v>
      </c>
      <c r="AL70" s="115"/>
      <c r="AM70" s="67">
        <f t="shared" ref="AM70:AM125" si="226">AN70/$K$128</f>
        <v>0</v>
      </c>
      <c r="AN70" s="68">
        <f t="shared" ref="AN70:AN81" si="227">TRUNC(AL70*$I70,2)</f>
        <v>0</v>
      </c>
      <c r="AP70" s="115">
        <f t="shared" ref="AP70:AP80" si="228">F70</f>
        <v>43.58</v>
      </c>
      <c r="AQ70" s="67">
        <f t="shared" ref="AQ70:AQ125" si="229">AR70/$K$128</f>
        <v>2.021330392736994E-3</v>
      </c>
      <c r="AR70" s="68">
        <f t="shared" ref="AR70:AR81" si="230">TRUNC(AP70*$I70,2)</f>
        <v>6500.82</v>
      </c>
      <c r="AS70" s="115"/>
      <c r="AT70" s="67">
        <f t="shared" ref="AT70:AT125" si="231">AU70/$K$128</f>
        <v>0</v>
      </c>
      <c r="AU70" s="68">
        <f t="shared" ref="AU70:AU81" si="232">TRUNC(AS70*$I70,2)</f>
        <v>0</v>
      </c>
      <c r="AW70" s="115"/>
      <c r="AX70" s="67">
        <f t="shared" ref="AX70:AX125" si="233">AY70/$K$128</f>
        <v>0</v>
      </c>
      <c r="AY70" s="68">
        <f t="shared" ref="AY70:AY81" si="234">TRUNC(AW70*$I70,2)</f>
        <v>0</v>
      </c>
      <c r="AZ70" s="115"/>
      <c r="BA70" s="67">
        <f t="shared" ref="BA70:BA125" si="235">BB70/$K$128</f>
        <v>0</v>
      </c>
      <c r="BB70" s="68">
        <f t="shared" ref="BB70:BB81" si="236">TRUNC(AZ70*$I70,2)</f>
        <v>0</v>
      </c>
      <c r="BD70" s="115">
        <f t="shared" ref="BD70:BD81" si="237">SUM(Q70,X70,AE70,AL70,AS70,AZ70)</f>
        <v>0</v>
      </c>
      <c r="BE70" s="67">
        <f t="shared" ref="BE70:BE125" si="238">BF70/$K$128</f>
        <v>0</v>
      </c>
      <c r="BF70" s="68">
        <f t="shared" ref="BF70:BF81" si="239">TRUNC(BD70*$I70,2)</f>
        <v>0</v>
      </c>
      <c r="BG70" s="133">
        <f t="shared" ref="BG70:BG81" si="240">$F70-BD70</f>
        <v>43.58</v>
      </c>
      <c r="BH70" s="67">
        <f t="shared" ref="BH70:BH125" si="241">BI70/$K$128</f>
        <v>2.021330392736994E-3</v>
      </c>
      <c r="BI70" s="68">
        <f t="shared" ref="BI70:BI81" si="242">TRUNC(BG70*$I70,2)</f>
        <v>6500.82</v>
      </c>
      <c r="BJ70" s="117"/>
      <c r="BL70" s="92"/>
    </row>
    <row r="71" spans="1:64" ht="229.5" x14ac:dyDescent="0.25">
      <c r="A71" s="100" t="str">
        <f>'01 - Orçamento Sintético'!A71</f>
        <v xml:space="preserve"> 3.1.4.2 </v>
      </c>
      <c r="B71" s="101" t="str">
        <f>'01 - Orçamento Sintético'!B71</f>
        <v xml:space="preserve"> 90844 </v>
      </c>
      <c r="C71" s="100" t="str">
        <f>'01 - Orçamento Sintético'!C71</f>
        <v>SINAPI</v>
      </c>
      <c r="D71" s="100" t="str">
        <f>'01 - Orçamento Sintético'!D71</f>
        <v>KIT DE PORTA DE MADEIRA PARA PINTURA, SEMI-OCA (LEVE OU MÉDIA), PADRÃO MÉDIO, 90X210CM, ESPESSURA DE 3,5CM, ITENS INCLUSOS: DOBRADIÇAS, MONTAGEM E INSTALAÇÃO DO BATENTE, FECHADURA COM EXECUÇÃO DO FURO - FORNECIMENTO E INSTALAÇÃO. AF_12/2019</v>
      </c>
      <c r="E71" s="94" t="str">
        <f>'01 - Orçamento Sintético'!E71</f>
        <v>UN</v>
      </c>
      <c r="F71" s="94">
        <f>'01 - Orçamento Sintético'!F71</f>
        <v>2</v>
      </c>
      <c r="G71" s="68">
        <f>INDEX('01 - Orçamento Sintético'!$A$6:$AB$125,MATCH('02 - Planilha de Medição'!$A71,'01 - Orçamento Sintético'!$A$6:$A$125,0),23)</f>
        <v>351.37</v>
      </c>
      <c r="H71" s="68">
        <f>INDEX('01 - Orçamento Sintético'!$A$6:$AB$125,MATCH('02 - Planilha de Medição'!$A71,'01 - Orçamento Sintético'!$A$6:$A$125,0),24)</f>
        <v>1337.29</v>
      </c>
      <c r="I71" s="68">
        <f>INDEX('01 - Orçamento Sintético'!$A$6:$AB$125,MATCH('02 - Planilha de Medição'!$A71,'01 - Orçamento Sintético'!$A$6:$A$125,0),25)</f>
        <v>1688.66</v>
      </c>
      <c r="J71" s="68">
        <f>INDEX('01 - Orçamento Sintético'!$A$6:$AB$125,MATCH('02 - Planilha de Medição'!$A71,'01 - Orçamento Sintético'!$A$6:$A$125,0),26)</f>
        <v>702.74</v>
      </c>
      <c r="K71" s="68">
        <f>INDEX('01 - Orçamento Sintético'!$A$6:$AB$125,MATCH('02 - Planilha de Medição'!$A71,'01 - Orçamento Sintético'!$A$6:$A$125,0),27)</f>
        <v>2674.58</v>
      </c>
      <c r="L71" s="68">
        <f>INDEX('01 - Orçamento Sintético'!$A$6:$AB$125,MATCH('02 - Planilha de Medição'!$A71,'01 - Orçamento Sintético'!$A$6:$A$125,0),28)</f>
        <v>3377.32</v>
      </c>
      <c r="N71" s="115"/>
      <c r="O71" s="67">
        <f t="shared" si="14"/>
        <v>0</v>
      </c>
      <c r="P71" s="68">
        <f t="shared" si="213"/>
        <v>0</v>
      </c>
      <c r="Q71" s="115"/>
      <c r="R71" s="67">
        <f t="shared" si="214"/>
        <v>0</v>
      </c>
      <c r="S71" s="68">
        <f t="shared" si="215"/>
        <v>0</v>
      </c>
      <c r="U71" s="115"/>
      <c r="V71" s="67">
        <f t="shared" si="216"/>
        <v>0</v>
      </c>
      <c r="W71" s="68">
        <f t="shared" si="217"/>
        <v>0</v>
      </c>
      <c r="X71" s="115"/>
      <c r="Y71" s="67">
        <f t="shared" si="218"/>
        <v>0</v>
      </c>
      <c r="Z71" s="68">
        <f t="shared" si="219"/>
        <v>0</v>
      </c>
      <c r="AB71" s="115"/>
      <c r="AC71" s="67">
        <f t="shared" si="220"/>
        <v>0</v>
      </c>
      <c r="AD71" s="68">
        <f t="shared" si="221"/>
        <v>0</v>
      </c>
      <c r="AE71" s="115"/>
      <c r="AF71" s="67">
        <f t="shared" si="222"/>
        <v>0</v>
      </c>
      <c r="AG71" s="68">
        <f t="shared" si="223"/>
        <v>0</v>
      </c>
      <c r="AI71" s="115"/>
      <c r="AJ71" s="67">
        <f t="shared" si="224"/>
        <v>0</v>
      </c>
      <c r="AK71" s="68">
        <f t="shared" si="225"/>
        <v>0</v>
      </c>
      <c r="AL71" s="115"/>
      <c r="AM71" s="67">
        <f t="shared" si="226"/>
        <v>0</v>
      </c>
      <c r="AN71" s="68">
        <f t="shared" si="227"/>
        <v>0</v>
      </c>
      <c r="AP71" s="115">
        <f t="shared" si="228"/>
        <v>2</v>
      </c>
      <c r="AQ71" s="67">
        <f t="shared" si="229"/>
        <v>1.0501259167302747E-3</v>
      </c>
      <c r="AR71" s="68">
        <f t="shared" si="230"/>
        <v>3377.32</v>
      </c>
      <c r="AS71" s="115"/>
      <c r="AT71" s="67">
        <f t="shared" si="231"/>
        <v>0</v>
      </c>
      <c r="AU71" s="68">
        <f t="shared" si="232"/>
        <v>0</v>
      </c>
      <c r="AW71" s="115"/>
      <c r="AX71" s="67">
        <f t="shared" si="233"/>
        <v>0</v>
      </c>
      <c r="AY71" s="68">
        <f t="shared" si="234"/>
        <v>0</v>
      </c>
      <c r="AZ71" s="115"/>
      <c r="BA71" s="67">
        <f t="shared" si="235"/>
        <v>0</v>
      </c>
      <c r="BB71" s="68">
        <f t="shared" si="236"/>
        <v>0</v>
      </c>
      <c r="BD71" s="115">
        <f t="shared" si="237"/>
        <v>0</v>
      </c>
      <c r="BE71" s="67">
        <f t="shared" si="238"/>
        <v>0</v>
      </c>
      <c r="BF71" s="68">
        <f t="shared" si="239"/>
        <v>0</v>
      </c>
      <c r="BG71" s="133">
        <f t="shared" si="240"/>
        <v>2</v>
      </c>
      <c r="BH71" s="67">
        <f t="shared" si="241"/>
        <v>1.0501259167302747E-3</v>
      </c>
      <c r="BI71" s="68">
        <f t="shared" si="242"/>
        <v>3377.32</v>
      </c>
      <c r="BJ71" s="117"/>
      <c r="BL71" s="92"/>
    </row>
    <row r="72" spans="1:64" ht="89.25" x14ac:dyDescent="0.25">
      <c r="A72" s="100" t="str">
        <f>'01 - Orçamento Sintético'!A72</f>
        <v xml:space="preserve"> 3.1.4.3 </v>
      </c>
      <c r="B72" s="101" t="str">
        <f>'01 - Orçamento Sintético'!B72</f>
        <v xml:space="preserve"> 102229 </v>
      </c>
      <c r="C72" s="100" t="str">
        <f>'01 - Orçamento Sintético'!C72</f>
        <v>SINAPI</v>
      </c>
      <c r="D72" s="100" t="str">
        <f>'01 - Orçamento Sintético'!D72</f>
        <v>PINTURA TINTA DE ACABAMENTO (PIGMENTADA) ESMALTE SINTÉTICO ACETINADO EM MADEIRA, 3 DEMÃOS. AF_01/2021</v>
      </c>
      <c r="E72" s="94" t="str">
        <f>'01 - Orçamento Sintético'!E72</f>
        <v>m²</v>
      </c>
      <c r="F72" s="94">
        <f>'01 - Orçamento Sintético'!F72</f>
        <v>9.4499999999999993</v>
      </c>
      <c r="G72" s="68">
        <f>INDEX('01 - Orçamento Sintético'!$A$6:$AB$125,MATCH('02 - Planilha de Medição'!$A72,'01 - Orçamento Sintético'!$A$6:$A$125,0),23)</f>
        <v>18.86</v>
      </c>
      <c r="H72" s="68">
        <f>INDEX('01 - Orçamento Sintético'!$A$6:$AB$125,MATCH('02 - Planilha de Medição'!$A72,'01 - Orçamento Sintético'!$A$6:$A$125,0),24)</f>
        <v>18.509999999999998</v>
      </c>
      <c r="I72" s="68">
        <f>INDEX('01 - Orçamento Sintético'!$A$6:$AB$125,MATCH('02 - Planilha de Medição'!$A72,'01 - Orçamento Sintético'!$A$6:$A$125,0),25)</f>
        <v>37.369999999999997</v>
      </c>
      <c r="J72" s="68">
        <f>INDEX('01 - Orçamento Sintético'!$A$6:$AB$125,MATCH('02 - Planilha de Medição'!$A72,'01 - Orçamento Sintético'!$A$6:$A$125,0),26)</f>
        <v>178.22</v>
      </c>
      <c r="K72" s="68">
        <f>INDEX('01 - Orçamento Sintético'!$A$6:$AB$125,MATCH('02 - Planilha de Medição'!$A72,'01 - Orçamento Sintético'!$A$6:$A$125,0),27)</f>
        <v>174.92</v>
      </c>
      <c r="L72" s="68">
        <f>INDEX('01 - Orçamento Sintético'!$A$6:$AB$125,MATCH('02 - Planilha de Medição'!$A72,'01 - Orçamento Sintético'!$A$6:$A$125,0),28)</f>
        <v>353.14</v>
      </c>
      <c r="N72" s="115"/>
      <c r="O72" s="67">
        <f t="shared" ref="O72:O125" si="243">P72/$K$128</f>
        <v>0</v>
      </c>
      <c r="P72" s="68">
        <f t="shared" si="213"/>
        <v>0</v>
      </c>
      <c r="Q72" s="115"/>
      <c r="R72" s="67">
        <f t="shared" si="214"/>
        <v>0</v>
      </c>
      <c r="S72" s="68">
        <f t="shared" si="215"/>
        <v>0</v>
      </c>
      <c r="U72" s="115"/>
      <c r="V72" s="67">
        <f t="shared" si="216"/>
        <v>0</v>
      </c>
      <c r="W72" s="68">
        <f t="shared" si="217"/>
        <v>0</v>
      </c>
      <c r="X72" s="115"/>
      <c r="Y72" s="67">
        <f t="shared" si="218"/>
        <v>0</v>
      </c>
      <c r="Z72" s="68">
        <f t="shared" si="219"/>
        <v>0</v>
      </c>
      <c r="AB72" s="115"/>
      <c r="AC72" s="67">
        <f t="shared" si="220"/>
        <v>0</v>
      </c>
      <c r="AD72" s="68">
        <f t="shared" si="221"/>
        <v>0</v>
      </c>
      <c r="AE72" s="115"/>
      <c r="AF72" s="67">
        <f t="shared" si="222"/>
        <v>0</v>
      </c>
      <c r="AG72" s="68">
        <f t="shared" si="223"/>
        <v>0</v>
      </c>
      <c r="AI72" s="115"/>
      <c r="AJ72" s="67">
        <f t="shared" si="224"/>
        <v>0</v>
      </c>
      <c r="AK72" s="68">
        <f t="shared" si="225"/>
        <v>0</v>
      </c>
      <c r="AL72" s="115"/>
      <c r="AM72" s="67">
        <f t="shared" si="226"/>
        <v>0</v>
      </c>
      <c r="AN72" s="68">
        <f t="shared" si="227"/>
        <v>0</v>
      </c>
      <c r="AP72" s="115">
        <f t="shared" si="228"/>
        <v>9.4499999999999993</v>
      </c>
      <c r="AQ72" s="67">
        <f t="shared" si="229"/>
        <v>1.0980347323739806E-4</v>
      </c>
      <c r="AR72" s="68">
        <f t="shared" si="230"/>
        <v>353.14</v>
      </c>
      <c r="AS72" s="115"/>
      <c r="AT72" s="67">
        <f t="shared" si="231"/>
        <v>0</v>
      </c>
      <c r="AU72" s="68">
        <f t="shared" si="232"/>
        <v>0</v>
      </c>
      <c r="AW72" s="115"/>
      <c r="AX72" s="67">
        <f t="shared" si="233"/>
        <v>0</v>
      </c>
      <c r="AY72" s="68">
        <f t="shared" si="234"/>
        <v>0</v>
      </c>
      <c r="AZ72" s="115"/>
      <c r="BA72" s="67">
        <f t="shared" si="235"/>
        <v>0</v>
      </c>
      <c r="BB72" s="68">
        <f t="shared" si="236"/>
        <v>0</v>
      </c>
      <c r="BD72" s="115">
        <f t="shared" si="237"/>
        <v>0</v>
      </c>
      <c r="BE72" s="67">
        <f t="shared" si="238"/>
        <v>0</v>
      </c>
      <c r="BF72" s="68">
        <f t="shared" si="239"/>
        <v>0</v>
      </c>
      <c r="BG72" s="133">
        <f t="shared" si="240"/>
        <v>9.4499999999999993</v>
      </c>
      <c r="BH72" s="67">
        <f t="shared" si="241"/>
        <v>1.0980347323739806E-4</v>
      </c>
      <c r="BI72" s="68">
        <f t="shared" si="242"/>
        <v>353.14</v>
      </c>
      <c r="BJ72" s="117"/>
      <c r="BL72" s="92"/>
    </row>
    <row r="73" spans="1:64" ht="25.5" x14ac:dyDescent="0.25">
      <c r="A73" s="100" t="str">
        <f>'01 - Orçamento Sintético'!A73</f>
        <v xml:space="preserve"> 3.1.4.4 </v>
      </c>
      <c r="B73" s="101" t="str">
        <f>'01 - Orçamento Sintético'!B73</f>
        <v xml:space="preserve"> 202332 </v>
      </c>
      <c r="C73" s="100" t="str">
        <f>'01 - Orçamento Sintético'!C73</f>
        <v>SBC</v>
      </c>
      <c r="D73" s="100" t="str">
        <f>'01 - Orçamento Sintético'!D73</f>
        <v>PLACA DE IMPACTO DE PORTA 90x40cm</v>
      </c>
      <c r="E73" s="94" t="str">
        <f>'01 - Orçamento Sintético'!E73</f>
        <v>UN</v>
      </c>
      <c r="F73" s="94">
        <f>'01 - Orçamento Sintético'!F73</f>
        <v>4</v>
      </c>
      <c r="G73" s="68">
        <f>INDEX('01 - Orçamento Sintético'!$A$6:$AB$125,MATCH('02 - Planilha de Medição'!$A73,'01 - Orçamento Sintético'!$A$6:$A$125,0),23)</f>
        <v>21.73</v>
      </c>
      <c r="H73" s="68">
        <f>INDEX('01 - Orçamento Sintético'!$A$6:$AB$125,MATCH('02 - Planilha de Medição'!$A73,'01 - Orçamento Sintético'!$A$6:$A$125,0),24)</f>
        <v>260.32</v>
      </c>
      <c r="I73" s="68">
        <f>INDEX('01 - Orçamento Sintético'!$A$6:$AB$125,MATCH('02 - Planilha de Medição'!$A73,'01 - Orçamento Sintético'!$A$6:$A$125,0),25)</f>
        <v>282.05</v>
      </c>
      <c r="J73" s="68">
        <f>INDEX('01 - Orçamento Sintético'!$A$6:$AB$125,MATCH('02 - Planilha de Medição'!$A73,'01 - Orçamento Sintético'!$A$6:$A$125,0),26)</f>
        <v>86.92</v>
      </c>
      <c r="K73" s="68">
        <f>INDEX('01 - Orçamento Sintético'!$A$6:$AB$125,MATCH('02 - Planilha de Medição'!$A73,'01 - Orçamento Sintético'!$A$6:$A$125,0),27)</f>
        <v>1041.28</v>
      </c>
      <c r="L73" s="68">
        <f>INDEX('01 - Orçamento Sintético'!$A$6:$AB$125,MATCH('02 - Planilha de Medição'!$A73,'01 - Orçamento Sintético'!$A$6:$A$125,0),28)</f>
        <v>1128.2</v>
      </c>
      <c r="N73" s="115"/>
      <c r="O73" s="67">
        <f t="shared" si="243"/>
        <v>0</v>
      </c>
      <c r="P73" s="68">
        <f t="shared" si="213"/>
        <v>0</v>
      </c>
      <c r="Q73" s="115"/>
      <c r="R73" s="67">
        <f t="shared" si="214"/>
        <v>0</v>
      </c>
      <c r="S73" s="68">
        <f t="shared" si="215"/>
        <v>0</v>
      </c>
      <c r="U73" s="115"/>
      <c r="V73" s="67">
        <f t="shared" si="216"/>
        <v>0</v>
      </c>
      <c r="W73" s="68">
        <f t="shared" si="217"/>
        <v>0</v>
      </c>
      <c r="X73" s="115"/>
      <c r="Y73" s="67">
        <f t="shared" si="218"/>
        <v>0</v>
      </c>
      <c r="Z73" s="68">
        <f t="shared" si="219"/>
        <v>0</v>
      </c>
      <c r="AB73" s="115"/>
      <c r="AC73" s="67">
        <f t="shared" si="220"/>
        <v>0</v>
      </c>
      <c r="AD73" s="68">
        <f t="shared" si="221"/>
        <v>0</v>
      </c>
      <c r="AE73" s="115"/>
      <c r="AF73" s="67">
        <f t="shared" si="222"/>
        <v>0</v>
      </c>
      <c r="AG73" s="68">
        <f t="shared" si="223"/>
        <v>0</v>
      </c>
      <c r="AI73" s="115"/>
      <c r="AJ73" s="67">
        <f t="shared" si="224"/>
        <v>0</v>
      </c>
      <c r="AK73" s="68">
        <f t="shared" si="225"/>
        <v>0</v>
      </c>
      <c r="AL73" s="115"/>
      <c r="AM73" s="67">
        <f t="shared" si="226"/>
        <v>0</v>
      </c>
      <c r="AN73" s="68">
        <f t="shared" si="227"/>
        <v>0</v>
      </c>
      <c r="AP73" s="115">
        <f t="shared" si="228"/>
        <v>4</v>
      </c>
      <c r="AQ73" s="67">
        <f t="shared" si="229"/>
        <v>3.5079650706924305E-4</v>
      </c>
      <c r="AR73" s="68">
        <f t="shared" si="230"/>
        <v>1128.2</v>
      </c>
      <c r="AS73" s="115"/>
      <c r="AT73" s="67">
        <f t="shared" si="231"/>
        <v>0</v>
      </c>
      <c r="AU73" s="68">
        <f t="shared" si="232"/>
        <v>0</v>
      </c>
      <c r="AW73" s="115"/>
      <c r="AX73" s="67">
        <f t="shared" si="233"/>
        <v>0</v>
      </c>
      <c r="AY73" s="68">
        <f t="shared" si="234"/>
        <v>0</v>
      </c>
      <c r="AZ73" s="115"/>
      <c r="BA73" s="67">
        <f t="shared" si="235"/>
        <v>0</v>
      </c>
      <c r="BB73" s="68">
        <f t="shared" si="236"/>
        <v>0</v>
      </c>
      <c r="BD73" s="115">
        <f t="shared" si="237"/>
        <v>0</v>
      </c>
      <c r="BE73" s="67">
        <f t="shared" si="238"/>
        <v>0</v>
      </c>
      <c r="BF73" s="68">
        <f t="shared" si="239"/>
        <v>0</v>
      </c>
      <c r="BG73" s="133">
        <f t="shared" si="240"/>
        <v>4</v>
      </c>
      <c r="BH73" s="67">
        <f t="shared" si="241"/>
        <v>3.5079650706924305E-4</v>
      </c>
      <c r="BI73" s="68">
        <f t="shared" si="242"/>
        <v>1128.2</v>
      </c>
      <c r="BJ73" s="117"/>
      <c r="BL73" s="92"/>
    </row>
    <row r="74" spans="1:64" ht="178.5" x14ac:dyDescent="0.25">
      <c r="A74" s="100" t="str">
        <f>'01 - Orçamento Sintético'!A74</f>
        <v xml:space="preserve"> 3.1.4.5 </v>
      </c>
      <c r="B74" s="101" t="str">
        <f>'01 - Orçamento Sintético'!B74</f>
        <v xml:space="preserve"> 95472 </v>
      </c>
      <c r="C74" s="100" t="str">
        <f>'01 - Orçamento Sintético'!C74</f>
        <v>SINAPI</v>
      </c>
      <c r="D74" s="100" t="str">
        <f>'01 - Orçamento Sintético'!D74</f>
        <v>VASO SANITARIO SIFONADO CONVENCIONAL PARA PCD SEM FURO FRONTAL COM LOUÇA BRANCA SEM ASSENTO, INCLUSO CONJUNTO DE LIGAÇÃO PARA BACIA SANITÁRIA AJUSTÁVEL - FORNECIMENTO E INSTALAÇÃO. AF_01/2020</v>
      </c>
      <c r="E74" s="94" t="str">
        <f>'01 - Orçamento Sintético'!E74</f>
        <v>UN</v>
      </c>
      <c r="F74" s="94">
        <f>'01 - Orçamento Sintético'!F74</f>
        <v>2</v>
      </c>
      <c r="G74" s="68">
        <f>INDEX('01 - Orçamento Sintético'!$A$6:$AB$125,MATCH('02 - Planilha de Medição'!$A74,'01 - Orçamento Sintético'!$A$6:$A$125,0),23)</f>
        <v>51.37</v>
      </c>
      <c r="H74" s="68">
        <f>INDEX('01 - Orçamento Sintético'!$A$6:$AB$125,MATCH('02 - Planilha de Medição'!$A74,'01 - Orçamento Sintético'!$A$6:$A$125,0),24)</f>
        <v>1028.8800000000001</v>
      </c>
      <c r="I74" s="68">
        <f>INDEX('01 - Orçamento Sintético'!$A$6:$AB$125,MATCH('02 - Planilha de Medição'!$A74,'01 - Orçamento Sintético'!$A$6:$A$125,0),25)</f>
        <v>1080.25</v>
      </c>
      <c r="J74" s="68">
        <f>INDEX('01 - Orçamento Sintético'!$A$6:$AB$125,MATCH('02 - Planilha de Medição'!$A74,'01 - Orçamento Sintético'!$A$6:$A$125,0),26)</f>
        <v>102.74</v>
      </c>
      <c r="K74" s="68">
        <f>INDEX('01 - Orçamento Sintético'!$A$6:$AB$125,MATCH('02 - Planilha de Medição'!$A74,'01 - Orçamento Sintético'!$A$6:$A$125,0),27)</f>
        <v>2057.7600000000002</v>
      </c>
      <c r="L74" s="68">
        <f>INDEX('01 - Orçamento Sintético'!$A$6:$AB$125,MATCH('02 - Planilha de Medição'!$A74,'01 - Orçamento Sintético'!$A$6:$A$125,0),28)</f>
        <v>2160.5</v>
      </c>
      <c r="N74" s="115"/>
      <c r="O74" s="67">
        <f t="shared" si="243"/>
        <v>0</v>
      </c>
      <c r="P74" s="68">
        <f t="shared" si="213"/>
        <v>0</v>
      </c>
      <c r="Q74" s="115"/>
      <c r="R74" s="67">
        <f t="shared" si="214"/>
        <v>0</v>
      </c>
      <c r="S74" s="68">
        <f t="shared" si="215"/>
        <v>0</v>
      </c>
      <c r="U74" s="115"/>
      <c r="V74" s="67">
        <f t="shared" si="216"/>
        <v>0</v>
      </c>
      <c r="W74" s="68">
        <f t="shared" si="217"/>
        <v>0</v>
      </c>
      <c r="X74" s="115"/>
      <c r="Y74" s="67">
        <f t="shared" si="218"/>
        <v>0</v>
      </c>
      <c r="Z74" s="68">
        <f t="shared" si="219"/>
        <v>0</v>
      </c>
      <c r="AB74" s="115"/>
      <c r="AC74" s="67">
        <f t="shared" si="220"/>
        <v>0</v>
      </c>
      <c r="AD74" s="68">
        <f t="shared" si="221"/>
        <v>0</v>
      </c>
      <c r="AE74" s="115"/>
      <c r="AF74" s="67">
        <f t="shared" si="222"/>
        <v>0</v>
      </c>
      <c r="AG74" s="68">
        <f t="shared" si="223"/>
        <v>0</v>
      </c>
      <c r="AI74" s="115"/>
      <c r="AJ74" s="67">
        <f t="shared" si="224"/>
        <v>0</v>
      </c>
      <c r="AK74" s="68">
        <f t="shared" si="225"/>
        <v>0</v>
      </c>
      <c r="AL74" s="115"/>
      <c r="AM74" s="67">
        <f t="shared" si="226"/>
        <v>0</v>
      </c>
      <c r="AN74" s="68">
        <f t="shared" si="227"/>
        <v>0</v>
      </c>
      <c r="AP74" s="115">
        <f t="shared" si="228"/>
        <v>2</v>
      </c>
      <c r="AQ74" s="67">
        <f t="shared" si="229"/>
        <v>6.7177437823355752E-4</v>
      </c>
      <c r="AR74" s="68">
        <f t="shared" si="230"/>
        <v>2160.5</v>
      </c>
      <c r="AS74" s="115"/>
      <c r="AT74" s="67">
        <f t="shared" si="231"/>
        <v>0</v>
      </c>
      <c r="AU74" s="68">
        <f t="shared" si="232"/>
        <v>0</v>
      </c>
      <c r="AW74" s="115"/>
      <c r="AX74" s="67">
        <f t="shared" si="233"/>
        <v>0</v>
      </c>
      <c r="AY74" s="68">
        <f t="shared" si="234"/>
        <v>0</v>
      </c>
      <c r="AZ74" s="115"/>
      <c r="BA74" s="67">
        <f t="shared" si="235"/>
        <v>0</v>
      </c>
      <c r="BB74" s="68">
        <f t="shared" si="236"/>
        <v>0</v>
      </c>
      <c r="BD74" s="115">
        <f t="shared" si="237"/>
        <v>0</v>
      </c>
      <c r="BE74" s="67">
        <f t="shared" si="238"/>
        <v>0</v>
      </c>
      <c r="BF74" s="68">
        <f t="shared" si="239"/>
        <v>0</v>
      </c>
      <c r="BG74" s="133">
        <f t="shared" si="240"/>
        <v>2</v>
      </c>
      <c r="BH74" s="67">
        <f t="shared" si="241"/>
        <v>6.7177437823355752E-4</v>
      </c>
      <c r="BI74" s="68">
        <f t="shared" si="242"/>
        <v>2160.5</v>
      </c>
      <c r="BJ74" s="117"/>
      <c r="BL74" s="92"/>
    </row>
    <row r="75" spans="1:64" ht="63.75" x14ac:dyDescent="0.25">
      <c r="A75" s="100" t="str">
        <f>'01 - Orçamento Sintético'!A75</f>
        <v xml:space="preserve"> 3.1.4.6 </v>
      </c>
      <c r="B75" s="101" t="str">
        <f>'01 - Orçamento Sintético'!B75</f>
        <v xml:space="preserve"> 100874 </v>
      </c>
      <c r="C75" s="100" t="str">
        <f>'01 - Orçamento Sintético'!C75</f>
        <v>SINAPI</v>
      </c>
      <c r="D75" s="100" t="str">
        <f>'01 - Orçamento Sintético'!D75</f>
        <v>PUXADOR PARA PCD, FIXADO NA PORTA - FORNECIMENTO E INSTALAÇÃO. AF_01/2020</v>
      </c>
      <c r="E75" s="94" t="str">
        <f>'01 - Orçamento Sintético'!E75</f>
        <v>UN</v>
      </c>
      <c r="F75" s="94">
        <f>'01 - Orçamento Sintético'!F75</f>
        <v>4</v>
      </c>
      <c r="G75" s="68">
        <f>INDEX('01 - Orçamento Sintético'!$A$6:$AB$125,MATCH('02 - Planilha de Medição'!$A75,'01 - Orçamento Sintético'!$A$6:$A$125,0),23)</f>
        <v>38.49</v>
      </c>
      <c r="H75" s="68">
        <f>INDEX('01 - Orçamento Sintético'!$A$6:$AB$125,MATCH('02 - Planilha de Medição'!$A75,'01 - Orçamento Sintético'!$A$6:$A$125,0),24)</f>
        <v>246.65999999999997</v>
      </c>
      <c r="I75" s="68">
        <f>INDEX('01 - Orçamento Sintético'!$A$6:$AB$125,MATCH('02 - Planilha de Medição'!$A75,'01 - Orçamento Sintético'!$A$6:$A$125,0),25)</f>
        <v>285.14999999999998</v>
      </c>
      <c r="J75" s="68">
        <f>INDEX('01 - Orçamento Sintético'!$A$6:$AB$125,MATCH('02 - Planilha de Medição'!$A75,'01 - Orçamento Sintético'!$A$6:$A$125,0),26)</f>
        <v>153.96</v>
      </c>
      <c r="K75" s="68">
        <f>INDEX('01 - Orçamento Sintético'!$A$6:$AB$125,MATCH('02 - Planilha de Medição'!$A75,'01 - Orçamento Sintético'!$A$6:$A$125,0),27)</f>
        <v>986.63999999999987</v>
      </c>
      <c r="L75" s="68">
        <f>INDEX('01 - Orçamento Sintético'!$A$6:$AB$125,MATCH('02 - Planilha de Medição'!$A75,'01 - Orçamento Sintético'!$A$6:$A$125,0),28)</f>
        <v>1140.5999999999999</v>
      </c>
      <c r="N75" s="115"/>
      <c r="O75" s="67">
        <f t="shared" si="243"/>
        <v>0</v>
      </c>
      <c r="P75" s="68">
        <f t="shared" si="213"/>
        <v>0</v>
      </c>
      <c r="Q75" s="115"/>
      <c r="R75" s="67">
        <f t="shared" si="214"/>
        <v>0</v>
      </c>
      <c r="S75" s="68">
        <f t="shared" si="215"/>
        <v>0</v>
      </c>
      <c r="U75" s="115"/>
      <c r="V75" s="67">
        <f t="shared" si="216"/>
        <v>0</v>
      </c>
      <c r="W75" s="68">
        <f t="shared" si="217"/>
        <v>0</v>
      </c>
      <c r="X75" s="115"/>
      <c r="Y75" s="67">
        <f t="shared" si="218"/>
        <v>0</v>
      </c>
      <c r="Z75" s="68">
        <f t="shared" si="219"/>
        <v>0</v>
      </c>
      <c r="AB75" s="115"/>
      <c r="AC75" s="67">
        <f t="shared" si="220"/>
        <v>0</v>
      </c>
      <c r="AD75" s="68">
        <f t="shared" si="221"/>
        <v>0</v>
      </c>
      <c r="AE75" s="115"/>
      <c r="AF75" s="67">
        <f t="shared" si="222"/>
        <v>0</v>
      </c>
      <c r="AG75" s="68">
        <f t="shared" si="223"/>
        <v>0</v>
      </c>
      <c r="AI75" s="115"/>
      <c r="AJ75" s="67">
        <f t="shared" si="224"/>
        <v>0</v>
      </c>
      <c r="AK75" s="68">
        <f t="shared" si="225"/>
        <v>0</v>
      </c>
      <c r="AL75" s="115"/>
      <c r="AM75" s="67">
        <f t="shared" si="226"/>
        <v>0</v>
      </c>
      <c r="AN75" s="68">
        <f t="shared" si="227"/>
        <v>0</v>
      </c>
      <c r="AP75" s="115">
        <f t="shared" si="228"/>
        <v>4</v>
      </c>
      <c r="AQ75" s="67">
        <f t="shared" si="229"/>
        <v>3.5465209711325879E-4</v>
      </c>
      <c r="AR75" s="68">
        <f t="shared" si="230"/>
        <v>1140.5999999999999</v>
      </c>
      <c r="AS75" s="115"/>
      <c r="AT75" s="67">
        <f t="shared" si="231"/>
        <v>0</v>
      </c>
      <c r="AU75" s="68">
        <f t="shared" si="232"/>
        <v>0</v>
      </c>
      <c r="AW75" s="115"/>
      <c r="AX75" s="67">
        <f t="shared" si="233"/>
        <v>0</v>
      </c>
      <c r="AY75" s="68">
        <f t="shared" si="234"/>
        <v>0</v>
      </c>
      <c r="AZ75" s="115"/>
      <c r="BA75" s="67">
        <f t="shared" si="235"/>
        <v>0</v>
      </c>
      <c r="BB75" s="68">
        <f t="shared" si="236"/>
        <v>0</v>
      </c>
      <c r="BD75" s="115">
        <f t="shared" si="237"/>
        <v>0</v>
      </c>
      <c r="BE75" s="67">
        <f t="shared" si="238"/>
        <v>0</v>
      </c>
      <c r="BF75" s="68">
        <f t="shared" si="239"/>
        <v>0</v>
      </c>
      <c r="BG75" s="133">
        <f t="shared" si="240"/>
        <v>4</v>
      </c>
      <c r="BH75" s="67">
        <f t="shared" si="241"/>
        <v>3.5465209711325879E-4</v>
      </c>
      <c r="BI75" s="68">
        <f t="shared" si="242"/>
        <v>1140.5999999999999</v>
      </c>
      <c r="BJ75" s="117"/>
      <c r="BL75" s="92"/>
    </row>
    <row r="76" spans="1:64" ht="102" x14ac:dyDescent="0.25">
      <c r="A76" s="100" t="str">
        <f>'01 - Orçamento Sintético'!A76</f>
        <v xml:space="preserve"> 3.1.4.7 </v>
      </c>
      <c r="B76" s="101" t="str">
        <f>'01 - Orçamento Sintético'!B76</f>
        <v xml:space="preserve"> 100868 </v>
      </c>
      <c r="C76" s="100" t="str">
        <f>'01 - Orçamento Sintético'!C76</f>
        <v>SINAPI</v>
      </c>
      <c r="D76" s="100" t="str">
        <f>'01 - Orçamento Sintético'!D76</f>
        <v>BARRA DE APOIO RETA, EM ACO INOX POLIDO, COMPRIMENTO 80 CM,  FIXADA NA PAREDE - FORNECIMENTO E INSTALAÇÃO. AF_01/2020</v>
      </c>
      <c r="E76" s="94" t="str">
        <f>'01 - Orçamento Sintético'!E76</f>
        <v>UN</v>
      </c>
      <c r="F76" s="94">
        <f>'01 - Orçamento Sintético'!F76</f>
        <v>2</v>
      </c>
      <c r="G76" s="68">
        <f>INDEX('01 - Orçamento Sintético'!$A$6:$AB$125,MATCH('02 - Planilha de Medição'!$A76,'01 - Orçamento Sintético'!$A$6:$A$125,0),23)</f>
        <v>38.49</v>
      </c>
      <c r="H76" s="68">
        <f>INDEX('01 - Orçamento Sintético'!$A$6:$AB$125,MATCH('02 - Planilha de Medição'!$A76,'01 - Orçamento Sintético'!$A$6:$A$125,0),24)</f>
        <v>269.67</v>
      </c>
      <c r="I76" s="68">
        <f>INDEX('01 - Orçamento Sintético'!$A$6:$AB$125,MATCH('02 - Planilha de Medição'!$A76,'01 - Orçamento Sintético'!$A$6:$A$125,0),25)</f>
        <v>308.16000000000003</v>
      </c>
      <c r="J76" s="68">
        <f>INDEX('01 - Orçamento Sintético'!$A$6:$AB$125,MATCH('02 - Planilha de Medição'!$A76,'01 - Orçamento Sintético'!$A$6:$A$125,0),26)</f>
        <v>76.98</v>
      </c>
      <c r="K76" s="68">
        <f>INDEX('01 - Orçamento Sintético'!$A$6:$AB$125,MATCH('02 - Planilha de Medição'!$A76,'01 - Orçamento Sintético'!$A$6:$A$125,0),27)</f>
        <v>539.34</v>
      </c>
      <c r="L76" s="68">
        <f>INDEX('01 - Orçamento Sintético'!$A$6:$AB$125,MATCH('02 - Planilha de Medição'!$A76,'01 - Orçamento Sintético'!$A$6:$A$125,0),28)</f>
        <v>616.32000000000005</v>
      </c>
      <c r="N76" s="115"/>
      <c r="O76" s="67">
        <f t="shared" si="243"/>
        <v>0</v>
      </c>
      <c r="P76" s="68">
        <f t="shared" si="213"/>
        <v>0</v>
      </c>
      <c r="Q76" s="115"/>
      <c r="R76" s="67">
        <f t="shared" si="214"/>
        <v>0</v>
      </c>
      <c r="S76" s="68">
        <f t="shared" si="215"/>
        <v>0</v>
      </c>
      <c r="U76" s="115"/>
      <c r="V76" s="67">
        <f t="shared" si="216"/>
        <v>0</v>
      </c>
      <c r="W76" s="68">
        <f t="shared" si="217"/>
        <v>0</v>
      </c>
      <c r="X76" s="115"/>
      <c r="Y76" s="67">
        <f t="shared" si="218"/>
        <v>0</v>
      </c>
      <c r="Z76" s="68">
        <f t="shared" si="219"/>
        <v>0</v>
      </c>
      <c r="AB76" s="115"/>
      <c r="AC76" s="67">
        <f t="shared" si="220"/>
        <v>0</v>
      </c>
      <c r="AD76" s="68">
        <f t="shared" si="221"/>
        <v>0</v>
      </c>
      <c r="AE76" s="115"/>
      <c r="AF76" s="67">
        <f t="shared" si="222"/>
        <v>0</v>
      </c>
      <c r="AG76" s="68">
        <f t="shared" si="223"/>
        <v>0</v>
      </c>
      <c r="AI76" s="115"/>
      <c r="AJ76" s="67">
        <f t="shared" si="224"/>
        <v>0</v>
      </c>
      <c r="AK76" s="68">
        <f t="shared" si="225"/>
        <v>0</v>
      </c>
      <c r="AL76" s="115"/>
      <c r="AM76" s="67">
        <f t="shared" si="226"/>
        <v>0</v>
      </c>
      <c r="AN76" s="68">
        <f t="shared" si="227"/>
        <v>0</v>
      </c>
      <c r="AP76" s="115">
        <f t="shared" si="228"/>
        <v>2</v>
      </c>
      <c r="AQ76" s="67">
        <f t="shared" si="229"/>
        <v>1.9163526257482351E-4</v>
      </c>
      <c r="AR76" s="68">
        <f t="shared" si="230"/>
        <v>616.32000000000005</v>
      </c>
      <c r="AS76" s="115"/>
      <c r="AT76" s="67">
        <f t="shared" si="231"/>
        <v>0</v>
      </c>
      <c r="AU76" s="68">
        <f t="shared" si="232"/>
        <v>0</v>
      </c>
      <c r="AW76" s="115"/>
      <c r="AX76" s="67">
        <f t="shared" si="233"/>
        <v>0</v>
      </c>
      <c r="AY76" s="68">
        <f t="shared" si="234"/>
        <v>0</v>
      </c>
      <c r="AZ76" s="115"/>
      <c r="BA76" s="67">
        <f t="shared" si="235"/>
        <v>0</v>
      </c>
      <c r="BB76" s="68">
        <f t="shared" si="236"/>
        <v>0</v>
      </c>
      <c r="BD76" s="115">
        <f t="shared" si="237"/>
        <v>0</v>
      </c>
      <c r="BE76" s="67">
        <f t="shared" si="238"/>
        <v>0</v>
      </c>
      <c r="BF76" s="68">
        <f t="shared" si="239"/>
        <v>0</v>
      </c>
      <c r="BG76" s="133">
        <f t="shared" si="240"/>
        <v>2</v>
      </c>
      <c r="BH76" s="67">
        <f t="shared" si="241"/>
        <v>1.9163526257482351E-4</v>
      </c>
      <c r="BI76" s="68">
        <f t="shared" si="242"/>
        <v>616.32000000000005</v>
      </c>
      <c r="BJ76" s="117"/>
      <c r="BL76" s="92"/>
    </row>
    <row r="77" spans="1:64" ht="102" x14ac:dyDescent="0.25">
      <c r="A77" s="100" t="str">
        <f>'01 - Orçamento Sintético'!A77</f>
        <v xml:space="preserve"> 3.1.4.8 </v>
      </c>
      <c r="B77" s="101" t="str">
        <f>'01 - Orçamento Sintético'!B77</f>
        <v xml:space="preserve"> 100866 </v>
      </c>
      <c r="C77" s="100" t="str">
        <f>'01 - Orçamento Sintético'!C77</f>
        <v>SINAPI</v>
      </c>
      <c r="D77" s="100" t="str">
        <f>'01 - Orçamento Sintético'!D77</f>
        <v>BARRA DE APOIO RETA, EM ACO INOX POLIDO, COMPRIMENTO 60CM, FIXADA NA PAREDE - FORNECIMENTO E INSTALAÇÃO. AF_01/2020</v>
      </c>
      <c r="E77" s="94" t="str">
        <f>'01 - Orçamento Sintético'!E77</f>
        <v>UN</v>
      </c>
      <c r="F77" s="94">
        <f>'01 - Orçamento Sintético'!F77</f>
        <v>2</v>
      </c>
      <c r="G77" s="68">
        <f>INDEX('01 - Orçamento Sintético'!$A$6:$AB$125,MATCH('02 - Planilha de Medição'!$A77,'01 - Orçamento Sintético'!$A$6:$A$125,0),23)</f>
        <v>38.49</v>
      </c>
      <c r="H77" s="68">
        <f>INDEX('01 - Orçamento Sintético'!$A$6:$AB$125,MATCH('02 - Planilha de Medição'!$A77,'01 - Orçamento Sintético'!$A$6:$A$125,0),24)</f>
        <v>246.65999999999997</v>
      </c>
      <c r="I77" s="68">
        <f>INDEX('01 - Orçamento Sintético'!$A$6:$AB$125,MATCH('02 - Planilha de Medição'!$A77,'01 - Orçamento Sintético'!$A$6:$A$125,0),25)</f>
        <v>285.14999999999998</v>
      </c>
      <c r="J77" s="68">
        <f>INDEX('01 - Orçamento Sintético'!$A$6:$AB$125,MATCH('02 - Planilha de Medição'!$A77,'01 - Orçamento Sintético'!$A$6:$A$125,0),26)</f>
        <v>76.98</v>
      </c>
      <c r="K77" s="68">
        <f>INDEX('01 - Orçamento Sintético'!$A$6:$AB$125,MATCH('02 - Planilha de Medição'!$A77,'01 - Orçamento Sintético'!$A$6:$A$125,0),27)</f>
        <v>493.31999999999994</v>
      </c>
      <c r="L77" s="68">
        <f>INDEX('01 - Orçamento Sintético'!$A$6:$AB$125,MATCH('02 - Planilha de Medição'!$A77,'01 - Orçamento Sintético'!$A$6:$A$125,0),28)</f>
        <v>570.29999999999995</v>
      </c>
      <c r="N77" s="115"/>
      <c r="O77" s="67">
        <f t="shared" si="243"/>
        <v>0</v>
      </c>
      <c r="P77" s="68">
        <f t="shared" si="213"/>
        <v>0</v>
      </c>
      <c r="Q77" s="115"/>
      <c r="R77" s="67">
        <f t="shared" si="214"/>
        <v>0</v>
      </c>
      <c r="S77" s="68">
        <f t="shared" si="215"/>
        <v>0</v>
      </c>
      <c r="U77" s="115"/>
      <c r="V77" s="67">
        <f t="shared" si="216"/>
        <v>0</v>
      </c>
      <c r="W77" s="68">
        <f t="shared" si="217"/>
        <v>0</v>
      </c>
      <c r="X77" s="115"/>
      <c r="Y77" s="67">
        <f t="shared" si="218"/>
        <v>0</v>
      </c>
      <c r="Z77" s="68">
        <f t="shared" si="219"/>
        <v>0</v>
      </c>
      <c r="AB77" s="115"/>
      <c r="AC77" s="67">
        <f t="shared" si="220"/>
        <v>0</v>
      </c>
      <c r="AD77" s="68">
        <f t="shared" si="221"/>
        <v>0</v>
      </c>
      <c r="AE77" s="115"/>
      <c r="AF77" s="67">
        <f t="shared" si="222"/>
        <v>0</v>
      </c>
      <c r="AG77" s="68">
        <f t="shared" si="223"/>
        <v>0</v>
      </c>
      <c r="AI77" s="115"/>
      <c r="AJ77" s="67">
        <f t="shared" si="224"/>
        <v>0</v>
      </c>
      <c r="AK77" s="68">
        <f t="shared" si="225"/>
        <v>0</v>
      </c>
      <c r="AL77" s="115"/>
      <c r="AM77" s="67">
        <f t="shared" si="226"/>
        <v>0</v>
      </c>
      <c r="AN77" s="68">
        <f t="shared" si="227"/>
        <v>0</v>
      </c>
      <c r="AP77" s="115">
        <f t="shared" si="228"/>
        <v>2</v>
      </c>
      <c r="AQ77" s="67">
        <f t="shared" si="229"/>
        <v>1.773260485566294E-4</v>
      </c>
      <c r="AR77" s="68">
        <f t="shared" si="230"/>
        <v>570.29999999999995</v>
      </c>
      <c r="AS77" s="115"/>
      <c r="AT77" s="67">
        <f t="shared" si="231"/>
        <v>0</v>
      </c>
      <c r="AU77" s="68">
        <f t="shared" si="232"/>
        <v>0</v>
      </c>
      <c r="AW77" s="115"/>
      <c r="AX77" s="67">
        <f t="shared" si="233"/>
        <v>0</v>
      </c>
      <c r="AY77" s="68">
        <f t="shared" si="234"/>
        <v>0</v>
      </c>
      <c r="AZ77" s="115"/>
      <c r="BA77" s="67">
        <f t="shared" si="235"/>
        <v>0</v>
      </c>
      <c r="BB77" s="68">
        <f t="shared" si="236"/>
        <v>0</v>
      </c>
      <c r="BD77" s="115">
        <f t="shared" si="237"/>
        <v>0</v>
      </c>
      <c r="BE77" s="67">
        <f t="shared" si="238"/>
        <v>0</v>
      </c>
      <c r="BF77" s="68">
        <f t="shared" si="239"/>
        <v>0</v>
      </c>
      <c r="BG77" s="133">
        <f t="shared" si="240"/>
        <v>2</v>
      </c>
      <c r="BH77" s="67">
        <f t="shared" si="241"/>
        <v>1.773260485566294E-4</v>
      </c>
      <c r="BI77" s="68">
        <f t="shared" si="242"/>
        <v>570.29999999999995</v>
      </c>
      <c r="BJ77" s="117"/>
      <c r="BL77" s="92"/>
    </row>
    <row r="78" spans="1:64" ht="38.25" x14ac:dyDescent="0.25">
      <c r="A78" s="100" t="str">
        <f>'01 - Orçamento Sintético'!A78</f>
        <v xml:space="preserve"> 3.1.4.9 </v>
      </c>
      <c r="B78" s="101" t="str">
        <f>'01 - Orçamento Sintético'!B78</f>
        <v xml:space="preserve"> 9703 </v>
      </c>
      <c r="C78" s="100" t="str">
        <f>'01 - Orçamento Sintético'!C78</f>
        <v>ORSE</v>
      </c>
      <c r="D78" s="100" t="str">
        <f>'01 - Orçamento Sintético'!D78</f>
        <v>Canopla com alavanca para válvula de descarga para deficiente</v>
      </c>
      <c r="E78" s="94" t="str">
        <f>'01 - Orçamento Sintético'!E78</f>
        <v>un</v>
      </c>
      <c r="F78" s="94">
        <f>'01 - Orçamento Sintético'!F78</f>
        <v>2</v>
      </c>
      <c r="G78" s="68">
        <f>INDEX('01 - Orçamento Sintético'!$A$6:$AB$125,MATCH('02 - Planilha de Medição'!$A78,'01 - Orçamento Sintético'!$A$6:$A$125,0),23)</f>
        <v>5.96</v>
      </c>
      <c r="H78" s="68">
        <f>INDEX('01 - Orçamento Sintético'!$A$6:$AB$125,MATCH('02 - Planilha de Medição'!$A78,'01 - Orçamento Sintético'!$A$6:$A$125,0),24)</f>
        <v>845.31</v>
      </c>
      <c r="I78" s="68">
        <f>INDEX('01 - Orçamento Sintético'!$A$6:$AB$125,MATCH('02 - Planilha de Medição'!$A78,'01 - Orçamento Sintético'!$A$6:$A$125,0),25)</f>
        <v>851.27</v>
      </c>
      <c r="J78" s="68">
        <f>INDEX('01 - Orçamento Sintético'!$A$6:$AB$125,MATCH('02 - Planilha de Medição'!$A78,'01 - Orçamento Sintético'!$A$6:$A$125,0),26)</f>
        <v>11.92</v>
      </c>
      <c r="K78" s="68">
        <f>INDEX('01 - Orçamento Sintético'!$A$6:$AB$125,MATCH('02 - Planilha de Medição'!$A78,'01 - Orçamento Sintético'!$A$6:$A$125,0),27)</f>
        <v>1690.62</v>
      </c>
      <c r="L78" s="68">
        <f>INDEX('01 - Orçamento Sintético'!$A$6:$AB$125,MATCH('02 - Planilha de Medição'!$A78,'01 - Orçamento Sintético'!$A$6:$A$125,0),28)</f>
        <v>1702.54</v>
      </c>
      <c r="N78" s="115"/>
      <c r="O78" s="67">
        <f t="shared" si="243"/>
        <v>0</v>
      </c>
      <c r="P78" s="68">
        <f t="shared" si="213"/>
        <v>0</v>
      </c>
      <c r="Q78" s="115"/>
      <c r="R78" s="67">
        <f t="shared" si="214"/>
        <v>0</v>
      </c>
      <c r="S78" s="68">
        <f t="shared" si="215"/>
        <v>0</v>
      </c>
      <c r="U78" s="115"/>
      <c r="V78" s="67">
        <f t="shared" si="216"/>
        <v>0</v>
      </c>
      <c r="W78" s="68">
        <f t="shared" si="217"/>
        <v>0</v>
      </c>
      <c r="X78" s="115"/>
      <c r="Y78" s="67">
        <f t="shared" si="218"/>
        <v>0</v>
      </c>
      <c r="Z78" s="68">
        <f t="shared" si="219"/>
        <v>0</v>
      </c>
      <c r="AB78" s="115"/>
      <c r="AC78" s="67">
        <f t="shared" si="220"/>
        <v>0</v>
      </c>
      <c r="AD78" s="68">
        <f t="shared" si="221"/>
        <v>0</v>
      </c>
      <c r="AE78" s="115"/>
      <c r="AF78" s="67">
        <f t="shared" si="222"/>
        <v>0</v>
      </c>
      <c r="AG78" s="68">
        <f t="shared" si="223"/>
        <v>0</v>
      </c>
      <c r="AI78" s="115"/>
      <c r="AJ78" s="67">
        <f t="shared" si="224"/>
        <v>0</v>
      </c>
      <c r="AK78" s="68">
        <f t="shared" si="225"/>
        <v>0</v>
      </c>
      <c r="AL78" s="115"/>
      <c r="AM78" s="67">
        <f t="shared" si="226"/>
        <v>0</v>
      </c>
      <c r="AN78" s="68">
        <f t="shared" si="227"/>
        <v>0</v>
      </c>
      <c r="AP78" s="115">
        <f t="shared" si="228"/>
        <v>2</v>
      </c>
      <c r="AQ78" s="67">
        <f t="shared" si="229"/>
        <v>5.2937873173698725E-4</v>
      </c>
      <c r="AR78" s="68">
        <f t="shared" si="230"/>
        <v>1702.54</v>
      </c>
      <c r="AS78" s="115"/>
      <c r="AT78" s="67">
        <f t="shared" si="231"/>
        <v>0</v>
      </c>
      <c r="AU78" s="68">
        <f t="shared" si="232"/>
        <v>0</v>
      </c>
      <c r="AW78" s="115"/>
      <c r="AX78" s="67">
        <f t="shared" si="233"/>
        <v>0</v>
      </c>
      <c r="AY78" s="68">
        <f t="shared" si="234"/>
        <v>0</v>
      </c>
      <c r="AZ78" s="115"/>
      <c r="BA78" s="67">
        <f t="shared" si="235"/>
        <v>0</v>
      </c>
      <c r="BB78" s="68">
        <f t="shared" si="236"/>
        <v>0</v>
      </c>
      <c r="BD78" s="115">
        <f t="shared" si="237"/>
        <v>0</v>
      </c>
      <c r="BE78" s="67">
        <f t="shared" si="238"/>
        <v>0</v>
      </c>
      <c r="BF78" s="68">
        <f t="shared" si="239"/>
        <v>0</v>
      </c>
      <c r="BG78" s="133">
        <f t="shared" si="240"/>
        <v>2</v>
      </c>
      <c r="BH78" s="67">
        <f t="shared" si="241"/>
        <v>5.2937873173698725E-4</v>
      </c>
      <c r="BI78" s="68">
        <f t="shared" si="242"/>
        <v>1702.54</v>
      </c>
      <c r="BJ78" s="117"/>
      <c r="BL78" s="92"/>
    </row>
    <row r="79" spans="1:64" ht="38.25" x14ac:dyDescent="0.25">
      <c r="A79" s="100" t="str">
        <f>'01 - Orçamento Sintético'!A79</f>
        <v xml:space="preserve"> 3.1.4.10 </v>
      </c>
      <c r="B79" s="101" t="str">
        <f>'01 - Orçamento Sintético'!B79</f>
        <v xml:space="preserve"> 190058 </v>
      </c>
      <c r="C79" s="100" t="str">
        <f>'01 - Orçamento Sintético'!C79</f>
        <v>SBC</v>
      </c>
      <c r="D79" s="100" t="str">
        <f>'01 - Orçamento Sintético'!D79</f>
        <v>ESPELHO CRISTAL 4mm COM MOLDURA DE ALUMINIO</v>
      </c>
      <c r="E79" s="94" t="str">
        <f>'01 - Orçamento Sintético'!E79</f>
        <v>m²</v>
      </c>
      <c r="F79" s="94">
        <f>'01 - Orçamento Sintético'!F79</f>
        <v>0.42</v>
      </c>
      <c r="G79" s="68">
        <f>INDEX('01 - Orçamento Sintético'!$A$6:$AB$125,MATCH('02 - Planilha de Medição'!$A79,'01 - Orçamento Sintético'!$A$6:$A$125,0),23)</f>
        <v>41.79</v>
      </c>
      <c r="H79" s="68">
        <f>INDEX('01 - Orçamento Sintético'!$A$6:$AB$125,MATCH('02 - Planilha de Medição'!$A79,'01 - Orçamento Sintético'!$A$6:$A$125,0),24)</f>
        <v>590.44000000000005</v>
      </c>
      <c r="I79" s="68">
        <f>INDEX('01 - Orçamento Sintético'!$A$6:$AB$125,MATCH('02 - Planilha de Medição'!$A79,'01 - Orçamento Sintético'!$A$6:$A$125,0),25)</f>
        <v>632.23</v>
      </c>
      <c r="J79" s="68">
        <f>INDEX('01 - Orçamento Sintético'!$A$6:$AB$125,MATCH('02 - Planilha de Medição'!$A79,'01 - Orçamento Sintético'!$A$6:$A$125,0),26)</f>
        <v>17.55</v>
      </c>
      <c r="K79" s="68">
        <f>INDEX('01 - Orçamento Sintético'!$A$6:$AB$125,MATCH('02 - Planilha de Medição'!$A79,'01 - Orçamento Sintético'!$A$6:$A$125,0),27)</f>
        <v>247.97999999999996</v>
      </c>
      <c r="L79" s="68">
        <f>INDEX('01 - Orçamento Sintético'!$A$6:$AB$125,MATCH('02 - Planilha de Medição'!$A79,'01 - Orçamento Sintético'!$A$6:$A$125,0),28)</f>
        <v>265.52999999999997</v>
      </c>
      <c r="N79" s="115"/>
      <c r="O79" s="67">
        <f t="shared" si="243"/>
        <v>0</v>
      </c>
      <c r="P79" s="68">
        <f t="shared" si="213"/>
        <v>0</v>
      </c>
      <c r="Q79" s="115"/>
      <c r="R79" s="67">
        <f t="shared" si="214"/>
        <v>0</v>
      </c>
      <c r="S79" s="68">
        <f t="shared" si="215"/>
        <v>0</v>
      </c>
      <c r="U79" s="115"/>
      <c r="V79" s="67">
        <f t="shared" si="216"/>
        <v>0</v>
      </c>
      <c r="W79" s="68">
        <f t="shared" si="217"/>
        <v>0</v>
      </c>
      <c r="X79" s="115"/>
      <c r="Y79" s="67">
        <f t="shared" si="218"/>
        <v>0</v>
      </c>
      <c r="Z79" s="68">
        <f t="shared" si="219"/>
        <v>0</v>
      </c>
      <c r="AB79" s="115"/>
      <c r="AC79" s="67">
        <f t="shared" si="220"/>
        <v>0</v>
      </c>
      <c r="AD79" s="68">
        <f t="shared" si="221"/>
        <v>0</v>
      </c>
      <c r="AE79" s="115"/>
      <c r="AF79" s="67">
        <f t="shared" si="222"/>
        <v>0</v>
      </c>
      <c r="AG79" s="68">
        <f t="shared" si="223"/>
        <v>0</v>
      </c>
      <c r="AI79" s="115"/>
      <c r="AJ79" s="67">
        <f t="shared" si="224"/>
        <v>0</v>
      </c>
      <c r="AK79" s="68">
        <f t="shared" si="225"/>
        <v>0</v>
      </c>
      <c r="AL79" s="115"/>
      <c r="AM79" s="67">
        <f t="shared" si="226"/>
        <v>0</v>
      </c>
      <c r="AN79" s="68">
        <f t="shared" si="227"/>
        <v>0</v>
      </c>
      <c r="AP79" s="115">
        <f t="shared" si="228"/>
        <v>0.42</v>
      </c>
      <c r="AQ79" s="67">
        <f t="shared" si="229"/>
        <v>8.2562485837702615E-5</v>
      </c>
      <c r="AR79" s="68">
        <f t="shared" si="230"/>
        <v>265.52999999999997</v>
      </c>
      <c r="AS79" s="115"/>
      <c r="AT79" s="67">
        <f t="shared" si="231"/>
        <v>0</v>
      </c>
      <c r="AU79" s="68">
        <f t="shared" si="232"/>
        <v>0</v>
      </c>
      <c r="AW79" s="115"/>
      <c r="AX79" s="67">
        <f t="shared" si="233"/>
        <v>0</v>
      </c>
      <c r="AY79" s="68">
        <f t="shared" si="234"/>
        <v>0</v>
      </c>
      <c r="AZ79" s="115"/>
      <c r="BA79" s="67">
        <f t="shared" si="235"/>
        <v>0</v>
      </c>
      <c r="BB79" s="68">
        <f t="shared" si="236"/>
        <v>0</v>
      </c>
      <c r="BD79" s="115">
        <f t="shared" si="237"/>
        <v>0</v>
      </c>
      <c r="BE79" s="67">
        <f t="shared" si="238"/>
        <v>0</v>
      </c>
      <c r="BF79" s="68">
        <f t="shared" si="239"/>
        <v>0</v>
      </c>
      <c r="BG79" s="133">
        <f t="shared" si="240"/>
        <v>0.42</v>
      </c>
      <c r="BH79" s="67">
        <f t="shared" si="241"/>
        <v>8.2562485837702615E-5</v>
      </c>
      <c r="BI79" s="68">
        <f t="shared" si="242"/>
        <v>265.52999999999997</v>
      </c>
      <c r="BJ79" s="117"/>
      <c r="BL79" s="92"/>
    </row>
    <row r="80" spans="1:64" ht="204" x14ac:dyDescent="0.25">
      <c r="A80" s="100" t="str">
        <f>'01 - Orçamento Sintético'!A80</f>
        <v xml:space="preserve"> 3.1.4.11 </v>
      </c>
      <c r="B80" s="101" t="str">
        <f>'01 - Orçamento Sintético'!B80</f>
        <v xml:space="preserve"> 86943 </v>
      </c>
      <c r="C80" s="100" t="str">
        <f>'01 - Orçamento Sintético'!C80</f>
        <v>SINAPI</v>
      </c>
      <c r="D80" s="100" t="str">
        <f>'01 - Orçamento Sintético'!D80</f>
        <v>LAVATÓRIO LOUÇA BRANCA SUSPENSO, 29,5 X 39CM OU EQUIVALENTE, PADRÃO POPULAR, INCLUSO SIFÃO FLEXÍVEL EM PVC, VÁLVULA E ENGATE FLEXÍVEL 30CM EM PLÁSTICO E TORNEIRA CROMADA DE MESA, PADRÃO POPULAR - FORNECIMENTO E INSTALAÇÃO. AF_01/2020</v>
      </c>
      <c r="E80" s="94" t="str">
        <f>'01 - Orçamento Sintético'!E80</f>
        <v>UN</v>
      </c>
      <c r="F80" s="94">
        <f>'01 - Orçamento Sintético'!F80</f>
        <v>2</v>
      </c>
      <c r="G80" s="68">
        <f>INDEX('01 - Orçamento Sintético'!$A$6:$AB$125,MATCH('02 - Planilha de Medição'!$A80,'01 - Orçamento Sintético'!$A$6:$A$125,0),23)</f>
        <v>35.72</v>
      </c>
      <c r="H80" s="68">
        <f>INDEX('01 - Orçamento Sintético'!$A$6:$AB$125,MATCH('02 - Planilha de Medição'!$A80,'01 - Orçamento Sintético'!$A$6:$A$125,0),24)</f>
        <v>291.24</v>
      </c>
      <c r="I80" s="68">
        <f>INDEX('01 - Orçamento Sintético'!$A$6:$AB$125,MATCH('02 - Planilha de Medição'!$A80,'01 - Orçamento Sintético'!$A$6:$A$125,0),25)</f>
        <v>326.95999999999998</v>
      </c>
      <c r="J80" s="68">
        <f>INDEX('01 - Orçamento Sintético'!$A$6:$AB$125,MATCH('02 - Planilha de Medição'!$A80,'01 - Orçamento Sintético'!$A$6:$A$125,0),26)</f>
        <v>71.44</v>
      </c>
      <c r="K80" s="68">
        <f>INDEX('01 - Orçamento Sintético'!$A$6:$AB$125,MATCH('02 - Planilha de Medição'!$A80,'01 - Orçamento Sintético'!$A$6:$A$125,0),27)</f>
        <v>582.48</v>
      </c>
      <c r="L80" s="68">
        <f>INDEX('01 - Orçamento Sintético'!$A$6:$AB$125,MATCH('02 - Planilha de Medição'!$A80,'01 - Orçamento Sintético'!$A$6:$A$125,0),28)</f>
        <v>653.91999999999996</v>
      </c>
      <c r="N80" s="115"/>
      <c r="O80" s="67">
        <f t="shared" si="243"/>
        <v>0</v>
      </c>
      <c r="P80" s="68">
        <f t="shared" si="213"/>
        <v>0</v>
      </c>
      <c r="Q80" s="115"/>
      <c r="R80" s="67">
        <f t="shared" si="214"/>
        <v>0</v>
      </c>
      <c r="S80" s="68">
        <f t="shared" si="215"/>
        <v>0</v>
      </c>
      <c r="U80" s="115"/>
      <c r="V80" s="67">
        <f t="shared" si="216"/>
        <v>0</v>
      </c>
      <c r="W80" s="68">
        <f t="shared" si="217"/>
        <v>0</v>
      </c>
      <c r="X80" s="115"/>
      <c r="Y80" s="67">
        <f t="shared" si="218"/>
        <v>0</v>
      </c>
      <c r="Z80" s="68">
        <f t="shared" si="219"/>
        <v>0</v>
      </c>
      <c r="AB80" s="115"/>
      <c r="AC80" s="67">
        <f t="shared" si="220"/>
        <v>0</v>
      </c>
      <c r="AD80" s="68">
        <f t="shared" si="221"/>
        <v>0</v>
      </c>
      <c r="AE80" s="115"/>
      <c r="AF80" s="67">
        <f t="shared" si="222"/>
        <v>0</v>
      </c>
      <c r="AG80" s="68">
        <f t="shared" si="223"/>
        <v>0</v>
      </c>
      <c r="AI80" s="115"/>
      <c r="AJ80" s="67">
        <f t="shared" si="224"/>
        <v>0</v>
      </c>
      <c r="AK80" s="68">
        <f t="shared" si="225"/>
        <v>0</v>
      </c>
      <c r="AL80" s="115"/>
      <c r="AM80" s="67">
        <f t="shared" si="226"/>
        <v>0</v>
      </c>
      <c r="AN80" s="68">
        <f t="shared" si="227"/>
        <v>0</v>
      </c>
      <c r="AP80" s="115">
        <f t="shared" si="228"/>
        <v>2</v>
      </c>
      <c r="AQ80" s="67">
        <f t="shared" si="229"/>
        <v>2.0332640657925847E-4</v>
      </c>
      <c r="AR80" s="68">
        <f t="shared" si="230"/>
        <v>653.91999999999996</v>
      </c>
      <c r="AS80" s="115"/>
      <c r="AT80" s="67">
        <f t="shared" si="231"/>
        <v>0</v>
      </c>
      <c r="AU80" s="68">
        <f t="shared" si="232"/>
        <v>0</v>
      </c>
      <c r="AW80" s="115"/>
      <c r="AX80" s="67">
        <f t="shared" si="233"/>
        <v>0</v>
      </c>
      <c r="AY80" s="68">
        <f t="shared" si="234"/>
        <v>0</v>
      </c>
      <c r="AZ80" s="115"/>
      <c r="BA80" s="67">
        <f t="shared" si="235"/>
        <v>0</v>
      </c>
      <c r="BB80" s="68">
        <f t="shared" si="236"/>
        <v>0</v>
      </c>
      <c r="BD80" s="115">
        <f t="shared" si="237"/>
        <v>0</v>
      </c>
      <c r="BE80" s="67">
        <f t="shared" si="238"/>
        <v>0</v>
      </c>
      <c r="BF80" s="68">
        <f t="shared" si="239"/>
        <v>0</v>
      </c>
      <c r="BG80" s="133">
        <f t="shared" si="240"/>
        <v>2</v>
      </c>
      <c r="BH80" s="67">
        <f t="shared" si="241"/>
        <v>2.0332640657925847E-4</v>
      </c>
      <c r="BI80" s="68">
        <f t="shared" si="242"/>
        <v>653.91999999999996</v>
      </c>
      <c r="BJ80" s="117"/>
      <c r="BL80" s="92"/>
    </row>
    <row r="81" spans="1:64" ht="51" x14ac:dyDescent="0.25">
      <c r="A81" s="100" t="str">
        <f>'01 - Orçamento Sintético'!A81</f>
        <v xml:space="preserve"> 3.1.4.12 </v>
      </c>
      <c r="B81" s="101" t="str">
        <f>'01 - Orçamento Sintético'!B81</f>
        <v xml:space="preserve"> 202125 </v>
      </c>
      <c r="C81" s="100" t="str">
        <f>'01 - Orçamento Sintético'!C81</f>
        <v>SBC</v>
      </c>
      <c r="D81" s="100" t="str">
        <f>'01 - Orçamento Sintético'!D81</f>
        <v>ALARME AUDIOVISUAL S/ FIO BIVOLT 110/220V P/ SANITRIO PCD</v>
      </c>
      <c r="E81" s="94" t="str">
        <f>'01 - Orçamento Sintético'!E81</f>
        <v>UN</v>
      </c>
      <c r="F81" s="94">
        <f>'01 - Orçamento Sintético'!F81</f>
        <v>2</v>
      </c>
      <c r="G81" s="68">
        <f>INDEX('01 - Orçamento Sintético'!$A$6:$AB$125,MATCH('02 - Planilha de Medição'!$A81,'01 - Orçamento Sintético'!$A$6:$A$125,0),23)</f>
        <v>43.56</v>
      </c>
      <c r="H81" s="68">
        <f>INDEX('01 - Orçamento Sintético'!$A$6:$AB$125,MATCH('02 - Planilha de Medição'!$A81,'01 - Orçamento Sintético'!$A$6:$A$125,0),24)</f>
        <v>518.71</v>
      </c>
      <c r="I81" s="68">
        <f>INDEX('01 - Orçamento Sintético'!$A$6:$AB$125,MATCH('02 - Planilha de Medição'!$A81,'01 - Orçamento Sintético'!$A$6:$A$125,0),25)</f>
        <v>562.27</v>
      </c>
      <c r="J81" s="68">
        <f>INDEX('01 - Orçamento Sintético'!$A$6:$AB$125,MATCH('02 - Planilha de Medição'!$A81,'01 - Orçamento Sintético'!$A$6:$A$125,0),26)</f>
        <v>87.12</v>
      </c>
      <c r="K81" s="68">
        <f>INDEX('01 - Orçamento Sintético'!$A$6:$AB$125,MATCH('02 - Planilha de Medição'!$A81,'01 - Orçamento Sintético'!$A$6:$A$125,0),27)</f>
        <v>1037.42</v>
      </c>
      <c r="L81" s="68">
        <f>INDEX('01 - Orçamento Sintético'!$A$6:$AB$125,MATCH('02 - Planilha de Medição'!$A81,'01 - Orçamento Sintético'!$A$6:$A$125,0),28)</f>
        <v>1124.54</v>
      </c>
      <c r="N81" s="115"/>
      <c r="O81" s="67">
        <f t="shared" si="243"/>
        <v>0</v>
      </c>
      <c r="P81" s="68">
        <f t="shared" si="213"/>
        <v>0</v>
      </c>
      <c r="Q81" s="115"/>
      <c r="R81" s="67">
        <f t="shared" si="214"/>
        <v>0</v>
      </c>
      <c r="S81" s="68">
        <f t="shared" si="215"/>
        <v>0</v>
      </c>
      <c r="U81" s="115"/>
      <c r="V81" s="67">
        <f t="shared" si="216"/>
        <v>0</v>
      </c>
      <c r="W81" s="68">
        <f t="shared" si="217"/>
        <v>0</v>
      </c>
      <c r="X81" s="115"/>
      <c r="Y81" s="67">
        <f t="shared" si="218"/>
        <v>0</v>
      </c>
      <c r="Z81" s="68">
        <f t="shared" si="219"/>
        <v>0</v>
      </c>
      <c r="AB81" s="115"/>
      <c r="AC81" s="67">
        <f t="shared" si="220"/>
        <v>0</v>
      </c>
      <c r="AD81" s="68">
        <f t="shared" si="221"/>
        <v>0</v>
      </c>
      <c r="AE81" s="115"/>
      <c r="AF81" s="67">
        <f t="shared" si="222"/>
        <v>0</v>
      </c>
      <c r="AG81" s="68">
        <f t="shared" si="223"/>
        <v>0</v>
      </c>
      <c r="AI81" s="115"/>
      <c r="AJ81" s="67">
        <f t="shared" si="224"/>
        <v>0</v>
      </c>
      <c r="AK81" s="68">
        <f t="shared" si="225"/>
        <v>0</v>
      </c>
      <c r="AL81" s="115"/>
      <c r="AM81" s="67">
        <f t="shared" si="226"/>
        <v>0</v>
      </c>
      <c r="AN81" s="68">
        <f t="shared" si="227"/>
        <v>0</v>
      </c>
      <c r="AP81" s="115">
        <f>F81</f>
        <v>2</v>
      </c>
      <c r="AQ81" s="67">
        <f t="shared" si="229"/>
        <v>3.4965848613689645E-4</v>
      </c>
      <c r="AR81" s="68">
        <f t="shared" si="230"/>
        <v>1124.54</v>
      </c>
      <c r="AS81" s="115"/>
      <c r="AT81" s="67">
        <f t="shared" si="231"/>
        <v>0</v>
      </c>
      <c r="AU81" s="68">
        <f t="shared" si="232"/>
        <v>0</v>
      </c>
      <c r="AW81" s="115"/>
      <c r="AX81" s="67">
        <f t="shared" si="233"/>
        <v>0</v>
      </c>
      <c r="AY81" s="68">
        <f t="shared" si="234"/>
        <v>0</v>
      </c>
      <c r="AZ81" s="115"/>
      <c r="BA81" s="67">
        <f t="shared" si="235"/>
        <v>0</v>
      </c>
      <c r="BB81" s="68">
        <f t="shared" si="236"/>
        <v>0</v>
      </c>
      <c r="BD81" s="115">
        <f t="shared" si="237"/>
        <v>0</v>
      </c>
      <c r="BE81" s="67">
        <f t="shared" si="238"/>
        <v>0</v>
      </c>
      <c r="BF81" s="68">
        <f t="shared" si="239"/>
        <v>0</v>
      </c>
      <c r="BG81" s="133">
        <f t="shared" si="240"/>
        <v>2</v>
      </c>
      <c r="BH81" s="67">
        <f t="shared" si="241"/>
        <v>3.4965848613689645E-4</v>
      </c>
      <c r="BI81" s="68">
        <f t="shared" si="242"/>
        <v>1124.54</v>
      </c>
      <c r="BJ81" s="117"/>
      <c r="BL81" s="92"/>
    </row>
    <row r="82" spans="1:64" x14ac:dyDescent="0.25">
      <c r="A82" s="99" t="str">
        <f>'01 - Orçamento Sintético'!A82</f>
        <v xml:space="preserve"> 3.2 </v>
      </c>
      <c r="B82" s="99"/>
      <c r="C82" s="99"/>
      <c r="D82" s="99" t="str">
        <f>'01 - Orçamento Sintético'!D82</f>
        <v>Externo</v>
      </c>
      <c r="E82" s="99"/>
      <c r="F82" s="93"/>
      <c r="G82" s="69"/>
      <c r="H82" s="69"/>
      <c r="I82" s="69"/>
      <c r="J82" s="69"/>
      <c r="K82" s="69"/>
      <c r="L82" s="70">
        <f>INDEX('01 - Orçamento Sintético'!$A$6:$AB$125,MATCH('02 - Planilha de Medição'!$A82,'01 - Orçamento Sintético'!$A$6:$A$125,0),28)</f>
        <v>664290.80000000005</v>
      </c>
      <c r="N82" s="116"/>
      <c r="O82" s="120">
        <f t="shared" si="243"/>
        <v>0.10635471634865575</v>
      </c>
      <c r="P82" s="70">
        <f>SUM(P83,P89,P94,P96,P113)</f>
        <v>342048.42</v>
      </c>
      <c r="Q82" s="116"/>
      <c r="R82" s="120">
        <f t="shared" si="214"/>
        <v>0</v>
      </c>
      <c r="S82" s="70">
        <f>SUM(S83,S89,S94,S96,S113)</f>
        <v>0</v>
      </c>
      <c r="U82" s="116"/>
      <c r="V82" s="120">
        <f t="shared" si="216"/>
        <v>7.9979361772737623E-2</v>
      </c>
      <c r="W82" s="70">
        <f>SUM(W83,W89,W94,W96,W113)</f>
        <v>257222.38999999998</v>
      </c>
      <c r="X82" s="116"/>
      <c r="Y82" s="120">
        <f t="shared" si="218"/>
        <v>0</v>
      </c>
      <c r="Z82" s="70">
        <f>SUM(Z83,Z89,Z94,Z96,Z113)</f>
        <v>0</v>
      </c>
      <c r="AB82" s="116"/>
      <c r="AC82" s="120">
        <f t="shared" si="220"/>
        <v>0</v>
      </c>
      <c r="AD82" s="70">
        <f>SUM(AD83,AD89,AD94,AD96,AD113)</f>
        <v>0</v>
      </c>
      <c r="AE82" s="116"/>
      <c r="AF82" s="120">
        <f t="shared" si="222"/>
        <v>0</v>
      </c>
      <c r="AG82" s="70">
        <f>SUM(AG83,AG89,AG94,AG96,AG113)</f>
        <v>0</v>
      </c>
      <c r="AI82" s="116"/>
      <c r="AJ82" s="120">
        <f t="shared" si="224"/>
        <v>1.0100890344046614E-2</v>
      </c>
      <c r="AK82" s="70">
        <f>SUM(AK83,AK89,AK94,AK96,AK113)</f>
        <v>32485.57</v>
      </c>
      <c r="AL82" s="116"/>
      <c r="AM82" s="120">
        <f t="shared" si="226"/>
        <v>0</v>
      </c>
      <c r="AN82" s="70">
        <f>SUM(AN83,AN89,AN94,AN96,AN113)</f>
        <v>0</v>
      </c>
      <c r="AP82" s="116"/>
      <c r="AQ82" s="120">
        <f t="shared" si="229"/>
        <v>0</v>
      </c>
      <c r="AR82" s="70">
        <f>SUM(AR83,AR89,AR94,AR96,AR113)</f>
        <v>0</v>
      </c>
      <c r="AS82" s="116"/>
      <c r="AT82" s="120">
        <f t="shared" si="231"/>
        <v>0</v>
      </c>
      <c r="AU82" s="70">
        <f>SUM(AU83,AU89,AU94,AU96,AU113)</f>
        <v>0</v>
      </c>
      <c r="AW82" s="116"/>
      <c r="AX82" s="120">
        <f t="shared" si="233"/>
        <v>1.011607950321195E-2</v>
      </c>
      <c r="AY82" s="70">
        <f>SUM(AY83,AY89,AY94,AY96,AY113)</f>
        <v>32534.42</v>
      </c>
      <c r="AZ82" s="116"/>
      <c r="BA82" s="120">
        <f t="shared" si="235"/>
        <v>0</v>
      </c>
      <c r="BB82" s="70">
        <f>SUM(BB83,BB89,BB94,BB96,BB113)</f>
        <v>0</v>
      </c>
      <c r="BD82" s="116"/>
      <c r="BE82" s="120">
        <f t="shared" si="238"/>
        <v>0</v>
      </c>
      <c r="BF82" s="70">
        <f>SUM(BF83,BF89,BF94,BF96,BF113)</f>
        <v>0</v>
      </c>
      <c r="BG82" s="134"/>
      <c r="BH82" s="120">
        <f t="shared" si="241"/>
        <v>0.20655104796865195</v>
      </c>
      <c r="BI82" s="70">
        <f>SUM(BI83,BI89,BI94,BI96,BI113)</f>
        <v>664290.80000000005</v>
      </c>
      <c r="BJ82" s="117"/>
      <c r="BL82" s="92"/>
    </row>
    <row r="83" spans="1:64" x14ac:dyDescent="0.25">
      <c r="A83" s="99" t="str">
        <f>'01 - Orçamento Sintético'!A83</f>
        <v xml:space="preserve"> 3.2.1 </v>
      </c>
      <c r="B83" s="99"/>
      <c r="C83" s="99"/>
      <c r="D83" s="99" t="str">
        <f>'01 - Orçamento Sintético'!D83</f>
        <v>Térreo - Externo</v>
      </c>
      <c r="E83" s="99"/>
      <c r="F83" s="93"/>
      <c r="G83" s="69"/>
      <c r="H83" s="69"/>
      <c r="I83" s="69"/>
      <c r="J83" s="69"/>
      <c r="K83" s="69"/>
      <c r="L83" s="70">
        <f>INDEX('01 - Orçamento Sintético'!$A$6:$AB$125,MATCH('02 - Planilha de Medição'!$A83,'01 - Orçamento Sintético'!$A$6:$A$125,0),28)</f>
        <v>14855.42</v>
      </c>
      <c r="N83" s="116"/>
      <c r="O83" s="120">
        <f t="shared" si="243"/>
        <v>0</v>
      </c>
      <c r="P83" s="70">
        <f>SUM(P84:P88)</f>
        <v>0</v>
      </c>
      <c r="Q83" s="116"/>
      <c r="R83" s="120">
        <f t="shared" si="214"/>
        <v>0</v>
      </c>
      <c r="S83" s="70">
        <f>SUM(S84:S88)</f>
        <v>0</v>
      </c>
      <c r="U83" s="116"/>
      <c r="V83" s="120">
        <f t="shared" si="216"/>
        <v>0</v>
      </c>
      <c r="W83" s="70">
        <f>SUM(W84:W88)</f>
        <v>0</v>
      </c>
      <c r="X83" s="116"/>
      <c r="Y83" s="120">
        <f t="shared" si="218"/>
        <v>0</v>
      </c>
      <c r="Z83" s="70">
        <f>SUM(Z84:Z88)</f>
        <v>0</v>
      </c>
      <c r="AB83" s="116"/>
      <c r="AC83" s="120">
        <f t="shared" si="220"/>
        <v>0</v>
      </c>
      <c r="AD83" s="70">
        <f>SUM(AD84:AD88)</f>
        <v>0</v>
      </c>
      <c r="AE83" s="116"/>
      <c r="AF83" s="120">
        <f t="shared" si="222"/>
        <v>0</v>
      </c>
      <c r="AG83" s="70">
        <f>SUM(AG84:AG88)</f>
        <v>0</v>
      </c>
      <c r="AI83" s="116"/>
      <c r="AJ83" s="120">
        <f t="shared" si="224"/>
        <v>0</v>
      </c>
      <c r="AK83" s="70">
        <f>SUM(AK84:AK88)</f>
        <v>0</v>
      </c>
      <c r="AL83" s="116"/>
      <c r="AM83" s="120">
        <f t="shared" si="226"/>
        <v>0</v>
      </c>
      <c r="AN83" s="70">
        <f>SUM(AN84:AN88)</f>
        <v>0</v>
      </c>
      <c r="AP83" s="116"/>
      <c r="AQ83" s="120">
        <f t="shared" si="229"/>
        <v>0</v>
      </c>
      <c r="AR83" s="70">
        <f>SUM(AR84:AR88)</f>
        <v>0</v>
      </c>
      <c r="AS83" s="116"/>
      <c r="AT83" s="120">
        <f t="shared" si="231"/>
        <v>0</v>
      </c>
      <c r="AU83" s="70">
        <f>SUM(AU84:AU88)</f>
        <v>0</v>
      </c>
      <c r="AW83" s="116"/>
      <c r="AX83" s="120">
        <f t="shared" si="233"/>
        <v>4.6190652783607289E-3</v>
      </c>
      <c r="AY83" s="70">
        <f>SUM(AY84:AY88)</f>
        <v>14855.42</v>
      </c>
      <c r="AZ83" s="116"/>
      <c r="BA83" s="120">
        <f t="shared" si="235"/>
        <v>0</v>
      </c>
      <c r="BB83" s="70">
        <f>SUM(BB84:BB88)</f>
        <v>0</v>
      </c>
      <c r="BD83" s="116"/>
      <c r="BE83" s="120">
        <f t="shared" si="238"/>
        <v>0</v>
      </c>
      <c r="BF83" s="70">
        <f>SUM(BF84:BF88)</f>
        <v>0</v>
      </c>
      <c r="BG83" s="134"/>
      <c r="BH83" s="120">
        <f t="shared" si="241"/>
        <v>4.6190652783607289E-3</v>
      </c>
      <c r="BI83" s="70">
        <f>SUM(BI84:BI88)</f>
        <v>14855.42</v>
      </c>
      <c r="BJ83" s="117"/>
      <c r="BL83" s="92"/>
    </row>
    <row r="84" spans="1:64" ht="127.5" x14ac:dyDescent="0.25">
      <c r="A84" s="100" t="str">
        <f>'01 - Orçamento Sintético'!A84</f>
        <v xml:space="preserve"> 3.2.1.1 </v>
      </c>
      <c r="B84" s="101" t="str">
        <f>'01 - Orçamento Sintético'!B84</f>
        <v xml:space="preserve"> 94992 </v>
      </c>
      <c r="C84" s="100" t="str">
        <f>'01 - Orçamento Sintético'!C84</f>
        <v>SINAPI</v>
      </c>
      <c r="D84" s="100" t="str">
        <f>'01 - Orçamento Sintético'!D84</f>
        <v>EXECUÇÃO DE PASSEIO (CALÇADA) OU PISO DE CONCRETO COM CONCRETO MOLDADO IN LOCO, FEITO EM OBRA, ACABAMENTO CONVENCIONAL, ESPESSURA 6 CM, ARMADO. AF_08/2022</v>
      </c>
      <c r="E84" s="94" t="str">
        <f>'01 - Orçamento Sintético'!E84</f>
        <v>m²</v>
      </c>
      <c r="F84" s="94">
        <f>'01 - Orçamento Sintético'!F84</f>
        <v>12.9</v>
      </c>
      <c r="G84" s="68">
        <f>INDEX('01 - Orçamento Sintético'!$A$6:$AB$125,MATCH('02 - Planilha de Medição'!$A84,'01 - Orçamento Sintético'!$A$6:$A$125,0),23)</f>
        <v>21.88</v>
      </c>
      <c r="H84" s="68">
        <f>INDEX('01 - Orçamento Sintético'!$A$6:$AB$125,MATCH('02 - Planilha de Medição'!$A84,'01 - Orçamento Sintético'!$A$6:$A$125,0),24)</f>
        <v>79.92</v>
      </c>
      <c r="I84" s="68">
        <f>INDEX('01 - Orçamento Sintético'!$A$6:$AB$125,MATCH('02 - Planilha de Medição'!$A84,'01 - Orçamento Sintético'!$A$6:$A$125,0),25)</f>
        <v>101.8</v>
      </c>
      <c r="J84" s="68">
        <f>INDEX('01 - Orçamento Sintético'!$A$6:$AB$125,MATCH('02 - Planilha de Medição'!$A84,'01 - Orçamento Sintético'!$A$6:$A$125,0),26)</f>
        <v>282.25</v>
      </c>
      <c r="K84" s="68">
        <f>INDEX('01 - Orçamento Sintético'!$A$6:$AB$125,MATCH('02 - Planilha de Medição'!$A84,'01 - Orçamento Sintético'!$A$6:$A$125,0),27)</f>
        <v>1030.97</v>
      </c>
      <c r="L84" s="68">
        <f>INDEX('01 - Orçamento Sintético'!$A$6:$AB$125,MATCH('02 - Planilha de Medição'!$A84,'01 - Orçamento Sintético'!$A$6:$A$125,0),28)</f>
        <v>1313.22</v>
      </c>
      <c r="N84" s="115"/>
      <c r="O84" s="67">
        <f t="shared" si="243"/>
        <v>0</v>
      </c>
      <c r="P84" s="68">
        <f t="shared" ref="P84:P88" si="244">TRUNC(N84*$I84,2)</f>
        <v>0</v>
      </c>
      <c r="Q84" s="115"/>
      <c r="R84" s="67">
        <f t="shared" si="214"/>
        <v>0</v>
      </c>
      <c r="S84" s="68">
        <f t="shared" ref="S84:S88" si="245">TRUNC(Q84*$I84,2)</f>
        <v>0</v>
      </c>
      <c r="U84" s="115"/>
      <c r="V84" s="67">
        <f t="shared" si="216"/>
        <v>0</v>
      </c>
      <c r="W84" s="68">
        <f t="shared" ref="W84:W88" si="246">TRUNC(U84*$I84,2)</f>
        <v>0</v>
      </c>
      <c r="X84" s="115"/>
      <c r="Y84" s="67">
        <f t="shared" si="218"/>
        <v>0</v>
      </c>
      <c r="Z84" s="68">
        <f t="shared" ref="Z84:Z88" si="247">TRUNC(X84*$I84,2)</f>
        <v>0</v>
      </c>
      <c r="AB84" s="115"/>
      <c r="AC84" s="67">
        <f t="shared" si="220"/>
        <v>0</v>
      </c>
      <c r="AD84" s="68">
        <f t="shared" ref="AD84:AD88" si="248">TRUNC(AB84*$I84,2)</f>
        <v>0</v>
      </c>
      <c r="AE84" s="115"/>
      <c r="AF84" s="67">
        <f t="shared" si="222"/>
        <v>0</v>
      </c>
      <c r="AG84" s="68">
        <f t="shared" ref="AG84:AG88" si="249">TRUNC(AE84*$I84,2)</f>
        <v>0</v>
      </c>
      <c r="AI84" s="115"/>
      <c r="AJ84" s="67">
        <f t="shared" si="224"/>
        <v>0</v>
      </c>
      <c r="AK84" s="68">
        <f t="shared" ref="AK84:AK88" si="250">TRUNC(AI84*$I84,2)</f>
        <v>0</v>
      </c>
      <c r="AL84" s="115"/>
      <c r="AM84" s="67">
        <f t="shared" si="226"/>
        <v>0</v>
      </c>
      <c r="AN84" s="68">
        <f t="shared" ref="AN84:AN88" si="251">TRUNC(AL84*$I84,2)</f>
        <v>0</v>
      </c>
      <c r="AP84" s="115"/>
      <c r="AQ84" s="67">
        <f t="shared" si="229"/>
        <v>0</v>
      </c>
      <c r="AR84" s="68">
        <f t="shared" ref="AR84:AR88" si="252">TRUNC(AP84*$I84,2)</f>
        <v>0</v>
      </c>
      <c r="AS84" s="115"/>
      <c r="AT84" s="67">
        <f t="shared" si="231"/>
        <v>0</v>
      </c>
      <c r="AU84" s="68">
        <f t="shared" ref="AU84:AU88" si="253">TRUNC(AS84*$I84,2)</f>
        <v>0</v>
      </c>
      <c r="AW84" s="115">
        <f>F84</f>
        <v>12.9</v>
      </c>
      <c r="AX84" s="67">
        <f t="shared" si="233"/>
        <v>4.0832564174213027E-4</v>
      </c>
      <c r="AY84" s="68">
        <f t="shared" ref="AY84:AY88" si="254">TRUNC(AW84*$I84,2)</f>
        <v>1313.22</v>
      </c>
      <c r="AZ84" s="115"/>
      <c r="BA84" s="67">
        <f t="shared" si="235"/>
        <v>0</v>
      </c>
      <c r="BB84" s="68">
        <f t="shared" ref="BB84:BB88" si="255">TRUNC(AZ84*$I84,2)</f>
        <v>0</v>
      </c>
      <c r="BD84" s="115">
        <f t="shared" ref="BD84:BD88" si="256">SUM(Q84,X84,AE84,AL84,AS84,AZ84)</f>
        <v>0</v>
      </c>
      <c r="BE84" s="67">
        <f t="shared" si="238"/>
        <v>0</v>
      </c>
      <c r="BF84" s="68">
        <f t="shared" ref="BF84:BF88" si="257">TRUNC(BD84*$I84,2)</f>
        <v>0</v>
      </c>
      <c r="BG84" s="133">
        <f t="shared" ref="BG84:BG88" si="258">$F84-BD84</f>
        <v>12.9</v>
      </c>
      <c r="BH84" s="67">
        <f t="shared" si="241"/>
        <v>4.0832564174213027E-4</v>
      </c>
      <c r="BI84" s="68">
        <f t="shared" ref="BI84:BI88" si="259">TRUNC(BG84*$I84,2)</f>
        <v>1313.22</v>
      </c>
      <c r="BJ84" s="117"/>
      <c r="BL84" s="92"/>
    </row>
    <row r="85" spans="1:64" ht="191.25" x14ac:dyDescent="0.25">
      <c r="A85" s="100" t="str">
        <f>'01 - Orçamento Sintético'!A85</f>
        <v xml:space="preserve"> 3.2.1.2 </v>
      </c>
      <c r="B85" s="101" t="str">
        <f>'01 - Orçamento Sintético'!B85</f>
        <v xml:space="preserve"> 93396 </v>
      </c>
      <c r="C85" s="100" t="str">
        <f>'01 - Orçamento Sintético'!C85</f>
        <v>SINAPI</v>
      </c>
      <c r="D85" s="100" t="str">
        <f>'01 - Orçamento Sintético'!D85</f>
        <v>BANCADA GRANITO CINZA,  50 X 60 CM, INCL. CUBA DE EMBUTIR OVAL LOUÇA BRANCA 35 X 50 CM, VÁLVULA METAL CROMADO, SIFÃO FLEXÍVEL PVC, ENGATE 30 CM FLEXÍVEL PLÁSTICO E TORNEIRA CROMADA DE MESA, PADRÃO POPULAR - FORNEC. E INSTALAÇÃO. AF_01/2020</v>
      </c>
      <c r="E85" s="94" t="str">
        <f>'01 - Orçamento Sintético'!E85</f>
        <v>UN</v>
      </c>
      <c r="F85" s="94">
        <f>'01 - Orçamento Sintético'!F85</f>
        <v>1</v>
      </c>
      <c r="G85" s="68">
        <f>INDEX('01 - Orçamento Sintético'!$A$6:$AB$125,MATCH('02 - Planilha de Medição'!$A85,'01 - Orçamento Sintético'!$A$6:$A$125,0),23)</f>
        <v>153.82</v>
      </c>
      <c r="H85" s="68">
        <f>INDEX('01 - Orçamento Sintético'!$A$6:$AB$125,MATCH('02 - Planilha de Medição'!$A85,'01 - Orçamento Sintético'!$A$6:$A$125,0),24)</f>
        <v>781.94</v>
      </c>
      <c r="I85" s="68">
        <f>INDEX('01 - Orçamento Sintético'!$A$6:$AB$125,MATCH('02 - Planilha de Medição'!$A85,'01 - Orçamento Sintético'!$A$6:$A$125,0),25)</f>
        <v>935.76</v>
      </c>
      <c r="J85" s="68">
        <f>INDEX('01 - Orçamento Sintético'!$A$6:$AB$125,MATCH('02 - Planilha de Medição'!$A85,'01 - Orçamento Sintético'!$A$6:$A$125,0),26)</f>
        <v>153.82</v>
      </c>
      <c r="K85" s="68">
        <f>INDEX('01 - Orçamento Sintético'!$A$6:$AB$125,MATCH('02 - Planilha de Medição'!$A85,'01 - Orçamento Sintético'!$A$6:$A$125,0),27)</f>
        <v>781.94</v>
      </c>
      <c r="L85" s="68">
        <f>INDEX('01 - Orçamento Sintético'!$A$6:$AB$125,MATCH('02 - Planilha de Medição'!$A85,'01 - Orçamento Sintético'!$A$6:$A$125,0),28)</f>
        <v>935.76</v>
      </c>
      <c r="N85" s="115"/>
      <c r="O85" s="67">
        <f t="shared" si="243"/>
        <v>0</v>
      </c>
      <c r="P85" s="68">
        <f t="shared" si="244"/>
        <v>0</v>
      </c>
      <c r="Q85" s="115"/>
      <c r="R85" s="67">
        <f t="shared" si="214"/>
        <v>0</v>
      </c>
      <c r="S85" s="68">
        <f t="shared" si="245"/>
        <v>0</v>
      </c>
      <c r="U85" s="115"/>
      <c r="V85" s="67">
        <f t="shared" si="216"/>
        <v>0</v>
      </c>
      <c r="W85" s="68">
        <f t="shared" si="246"/>
        <v>0</v>
      </c>
      <c r="X85" s="115"/>
      <c r="Y85" s="67">
        <f t="shared" si="218"/>
        <v>0</v>
      </c>
      <c r="Z85" s="68">
        <f t="shared" si="247"/>
        <v>0</v>
      </c>
      <c r="AB85" s="115"/>
      <c r="AC85" s="67">
        <f t="shared" si="220"/>
        <v>0</v>
      </c>
      <c r="AD85" s="68">
        <f t="shared" si="248"/>
        <v>0</v>
      </c>
      <c r="AE85" s="115"/>
      <c r="AF85" s="67">
        <f t="shared" si="222"/>
        <v>0</v>
      </c>
      <c r="AG85" s="68">
        <f t="shared" si="249"/>
        <v>0</v>
      </c>
      <c r="AI85" s="115"/>
      <c r="AJ85" s="67">
        <f t="shared" si="224"/>
        <v>0</v>
      </c>
      <c r="AK85" s="68">
        <f t="shared" si="250"/>
        <v>0</v>
      </c>
      <c r="AL85" s="115"/>
      <c r="AM85" s="67">
        <f t="shared" si="226"/>
        <v>0</v>
      </c>
      <c r="AN85" s="68">
        <f t="shared" si="251"/>
        <v>0</v>
      </c>
      <c r="AP85" s="115"/>
      <c r="AQ85" s="67">
        <f t="shared" si="229"/>
        <v>0</v>
      </c>
      <c r="AR85" s="68">
        <f t="shared" si="252"/>
        <v>0</v>
      </c>
      <c r="AS85" s="115"/>
      <c r="AT85" s="67">
        <f t="shared" si="231"/>
        <v>0</v>
      </c>
      <c r="AU85" s="68">
        <f t="shared" si="253"/>
        <v>0</v>
      </c>
      <c r="AW85" s="115">
        <f t="shared" ref="AW85:AW88" si="260">F85</f>
        <v>1</v>
      </c>
      <c r="AX85" s="67">
        <f t="shared" si="233"/>
        <v>2.9096023706356576E-4</v>
      </c>
      <c r="AY85" s="68">
        <f t="shared" si="254"/>
        <v>935.76</v>
      </c>
      <c r="AZ85" s="115"/>
      <c r="BA85" s="67">
        <f t="shared" si="235"/>
        <v>0</v>
      </c>
      <c r="BB85" s="68">
        <f t="shared" si="255"/>
        <v>0</v>
      </c>
      <c r="BD85" s="115">
        <f t="shared" si="256"/>
        <v>0</v>
      </c>
      <c r="BE85" s="67">
        <f t="shared" si="238"/>
        <v>0</v>
      </c>
      <c r="BF85" s="68">
        <f t="shared" si="257"/>
        <v>0</v>
      </c>
      <c r="BG85" s="133">
        <f t="shared" si="258"/>
        <v>1</v>
      </c>
      <c r="BH85" s="67">
        <f t="shared" si="241"/>
        <v>2.9096023706356576E-4</v>
      </c>
      <c r="BI85" s="68">
        <f t="shared" si="259"/>
        <v>935.76</v>
      </c>
      <c r="BJ85" s="117"/>
      <c r="BL85" s="92"/>
    </row>
    <row r="86" spans="1:64" ht="216.75" x14ac:dyDescent="0.25">
      <c r="A86" s="100" t="str">
        <f>'01 - Orçamento Sintético'!A86</f>
        <v xml:space="preserve"> 3.2.1.3 </v>
      </c>
      <c r="B86" s="101" t="str">
        <f>'01 - Orçamento Sintético'!B86</f>
        <v xml:space="preserve"> C.ATA.ESQV.20 </v>
      </c>
      <c r="C86" s="100" t="str">
        <f>'01 - Orçamento Sintético'!C86</f>
        <v>Próprio</v>
      </c>
      <c r="D86" s="100" t="str">
        <f>'01 - Orçamento Sintético'!D86</f>
        <v>PORTA DE VIDRO TEMPERADO, 100 x 210CM, E= 10MM, COMPLETA COM FERRAGEM (COLOCAÇÃO E ACABAMENTO, DE ABRIR, UMA FOLHA, COM DOBRADIÇA ESPECIAL, MOLA HIDRÁULICA, FECHADURA, MAÇANETA E DEMAIS FERRAGENS DE ACABAMENTO) - FORNECIMENTO E INSTALAÇÃO</v>
      </c>
      <c r="E86" s="94" t="str">
        <f>'01 - Orçamento Sintético'!E86</f>
        <v>UN</v>
      </c>
      <c r="F86" s="94">
        <f>'01 - Orçamento Sintético'!F86</f>
        <v>2</v>
      </c>
      <c r="G86" s="68">
        <f>INDEX('01 - Orçamento Sintético'!$A$6:$AB$125,MATCH('02 - Planilha de Medição'!$A86,'01 - Orçamento Sintético'!$A$6:$A$125,0),23)</f>
        <v>47</v>
      </c>
      <c r="H86" s="68">
        <f>INDEX('01 - Orçamento Sintético'!$A$6:$AB$125,MATCH('02 - Planilha de Medição'!$A86,'01 - Orçamento Sintético'!$A$6:$A$125,0),24)</f>
        <v>2664.3</v>
      </c>
      <c r="I86" s="68">
        <f>INDEX('01 - Orçamento Sintético'!$A$6:$AB$125,MATCH('02 - Planilha de Medição'!$A86,'01 - Orçamento Sintético'!$A$6:$A$125,0),25)</f>
        <v>2711.3</v>
      </c>
      <c r="J86" s="68">
        <f>INDEX('01 - Orçamento Sintético'!$A$6:$AB$125,MATCH('02 - Planilha de Medição'!$A86,'01 - Orçamento Sintético'!$A$6:$A$125,0),26)</f>
        <v>94</v>
      </c>
      <c r="K86" s="68">
        <f>INDEX('01 - Orçamento Sintético'!$A$6:$AB$125,MATCH('02 - Planilha de Medição'!$A86,'01 - Orçamento Sintético'!$A$6:$A$125,0),27)</f>
        <v>5328.6</v>
      </c>
      <c r="L86" s="68">
        <f>INDEX('01 - Orçamento Sintético'!$A$6:$AB$125,MATCH('02 - Planilha de Medição'!$A86,'01 - Orçamento Sintético'!$A$6:$A$125,0),28)</f>
        <v>5422.6</v>
      </c>
      <c r="N86" s="115"/>
      <c r="O86" s="67">
        <f t="shared" si="243"/>
        <v>0</v>
      </c>
      <c r="P86" s="68">
        <f t="shared" si="244"/>
        <v>0</v>
      </c>
      <c r="Q86" s="115"/>
      <c r="R86" s="67">
        <f t="shared" si="214"/>
        <v>0</v>
      </c>
      <c r="S86" s="68">
        <f t="shared" si="245"/>
        <v>0</v>
      </c>
      <c r="U86" s="115"/>
      <c r="V86" s="67">
        <f t="shared" si="216"/>
        <v>0</v>
      </c>
      <c r="W86" s="68">
        <f t="shared" si="246"/>
        <v>0</v>
      </c>
      <c r="X86" s="115"/>
      <c r="Y86" s="67">
        <f t="shared" si="218"/>
        <v>0</v>
      </c>
      <c r="Z86" s="68">
        <f t="shared" si="247"/>
        <v>0</v>
      </c>
      <c r="AB86" s="115"/>
      <c r="AC86" s="67">
        <f t="shared" si="220"/>
        <v>0</v>
      </c>
      <c r="AD86" s="68">
        <f t="shared" si="248"/>
        <v>0</v>
      </c>
      <c r="AE86" s="115"/>
      <c r="AF86" s="67">
        <f t="shared" si="222"/>
        <v>0</v>
      </c>
      <c r="AG86" s="68">
        <f t="shared" si="249"/>
        <v>0</v>
      </c>
      <c r="AI86" s="115"/>
      <c r="AJ86" s="67">
        <f t="shared" si="224"/>
        <v>0</v>
      </c>
      <c r="AK86" s="68">
        <f t="shared" si="250"/>
        <v>0</v>
      </c>
      <c r="AL86" s="115"/>
      <c r="AM86" s="67">
        <f t="shared" si="226"/>
        <v>0</v>
      </c>
      <c r="AN86" s="68">
        <f t="shared" si="251"/>
        <v>0</v>
      </c>
      <c r="AP86" s="115"/>
      <c r="AQ86" s="67">
        <f t="shared" si="229"/>
        <v>0</v>
      </c>
      <c r="AR86" s="68">
        <f t="shared" si="252"/>
        <v>0</v>
      </c>
      <c r="AS86" s="115"/>
      <c r="AT86" s="67">
        <f t="shared" si="231"/>
        <v>0</v>
      </c>
      <c r="AU86" s="68">
        <f t="shared" si="253"/>
        <v>0</v>
      </c>
      <c r="AW86" s="115">
        <f t="shared" si="260"/>
        <v>2</v>
      </c>
      <c r="AX86" s="67">
        <f t="shared" si="233"/>
        <v>1.6860744010225824E-3</v>
      </c>
      <c r="AY86" s="68">
        <f t="shared" si="254"/>
        <v>5422.6</v>
      </c>
      <c r="AZ86" s="115"/>
      <c r="BA86" s="67">
        <f t="shared" si="235"/>
        <v>0</v>
      </c>
      <c r="BB86" s="68">
        <f t="shared" si="255"/>
        <v>0</v>
      </c>
      <c r="BD86" s="115">
        <f t="shared" si="256"/>
        <v>0</v>
      </c>
      <c r="BE86" s="67">
        <f t="shared" si="238"/>
        <v>0</v>
      </c>
      <c r="BF86" s="68">
        <f t="shared" si="257"/>
        <v>0</v>
      </c>
      <c r="BG86" s="133">
        <f t="shared" si="258"/>
        <v>2</v>
      </c>
      <c r="BH86" s="67">
        <f t="shared" si="241"/>
        <v>1.6860744010225824E-3</v>
      </c>
      <c r="BI86" s="68">
        <f t="shared" si="259"/>
        <v>5422.6</v>
      </c>
      <c r="BJ86" s="117"/>
      <c r="BL86" s="92"/>
    </row>
    <row r="87" spans="1:64" ht="38.25" x14ac:dyDescent="0.25">
      <c r="A87" s="100" t="str">
        <f>'01 - Orçamento Sintético'!A87</f>
        <v xml:space="preserve"> 3.2.1.4 </v>
      </c>
      <c r="B87" s="101" t="str">
        <f>'01 - Orçamento Sintético'!B87</f>
        <v xml:space="preserve"> 150306 </v>
      </c>
      <c r="C87" s="100" t="str">
        <f>'01 - Orçamento Sintético'!C87</f>
        <v>SBC</v>
      </c>
      <c r="D87" s="100" t="str">
        <f>'01 - Orçamento Sintético'!D87</f>
        <v>VIDRO LISO INCOLOR 10mm COM BAGUETE NEOPRENE</v>
      </c>
      <c r="E87" s="94" t="str">
        <f>'01 - Orçamento Sintético'!E87</f>
        <v>m²</v>
      </c>
      <c r="F87" s="94">
        <f>'01 - Orçamento Sintético'!F87</f>
        <v>8.5</v>
      </c>
      <c r="G87" s="68">
        <f>INDEX('01 - Orçamento Sintético'!$A$6:$AB$125,MATCH('02 - Planilha de Medição'!$A87,'01 - Orçamento Sintético'!$A$6:$A$125,0),23)</f>
        <v>70.73</v>
      </c>
      <c r="H87" s="68">
        <f>INDEX('01 - Orçamento Sintético'!$A$6:$AB$125,MATCH('02 - Planilha de Medição'!$A87,'01 - Orçamento Sintético'!$A$6:$A$125,0),24)</f>
        <v>602.89</v>
      </c>
      <c r="I87" s="68">
        <f>INDEX('01 - Orçamento Sintético'!$A$6:$AB$125,MATCH('02 - Planilha de Medição'!$A87,'01 - Orçamento Sintético'!$A$6:$A$125,0),25)</f>
        <v>673.62</v>
      </c>
      <c r="J87" s="68">
        <f>INDEX('01 - Orçamento Sintético'!$A$6:$AB$125,MATCH('02 - Planilha de Medição'!$A87,'01 - Orçamento Sintético'!$A$6:$A$125,0),26)</f>
        <v>601.20000000000005</v>
      </c>
      <c r="K87" s="68">
        <f>INDEX('01 - Orçamento Sintético'!$A$6:$AB$125,MATCH('02 - Planilha de Medição'!$A87,'01 - Orçamento Sintético'!$A$6:$A$125,0),27)</f>
        <v>5124.5700000000006</v>
      </c>
      <c r="L87" s="68">
        <f>INDEX('01 - Orçamento Sintético'!$A$6:$AB$125,MATCH('02 - Planilha de Medição'!$A87,'01 - Orçamento Sintético'!$A$6:$A$125,0),28)</f>
        <v>5725.77</v>
      </c>
      <c r="N87" s="115"/>
      <c r="O87" s="67">
        <f t="shared" si="243"/>
        <v>0</v>
      </c>
      <c r="P87" s="68">
        <f t="shared" si="244"/>
        <v>0</v>
      </c>
      <c r="Q87" s="115"/>
      <c r="R87" s="67">
        <f t="shared" si="214"/>
        <v>0</v>
      </c>
      <c r="S87" s="68">
        <f t="shared" si="245"/>
        <v>0</v>
      </c>
      <c r="U87" s="115"/>
      <c r="V87" s="67">
        <f t="shared" si="216"/>
        <v>0</v>
      </c>
      <c r="W87" s="68">
        <f t="shared" si="246"/>
        <v>0</v>
      </c>
      <c r="X87" s="115"/>
      <c r="Y87" s="67">
        <f t="shared" si="218"/>
        <v>0</v>
      </c>
      <c r="Z87" s="68">
        <f t="shared" si="247"/>
        <v>0</v>
      </c>
      <c r="AB87" s="115"/>
      <c r="AC87" s="67">
        <f t="shared" si="220"/>
        <v>0</v>
      </c>
      <c r="AD87" s="68">
        <f t="shared" si="248"/>
        <v>0</v>
      </c>
      <c r="AE87" s="115"/>
      <c r="AF87" s="67">
        <f t="shared" si="222"/>
        <v>0</v>
      </c>
      <c r="AG87" s="68">
        <f t="shared" si="249"/>
        <v>0</v>
      </c>
      <c r="AI87" s="115"/>
      <c r="AJ87" s="67">
        <f t="shared" si="224"/>
        <v>0</v>
      </c>
      <c r="AK87" s="68">
        <f t="shared" si="250"/>
        <v>0</v>
      </c>
      <c r="AL87" s="115"/>
      <c r="AM87" s="67">
        <f t="shared" si="226"/>
        <v>0</v>
      </c>
      <c r="AN87" s="68">
        <f t="shared" si="251"/>
        <v>0</v>
      </c>
      <c r="AP87" s="115"/>
      <c r="AQ87" s="67">
        <f t="shared" si="229"/>
        <v>0</v>
      </c>
      <c r="AR87" s="68">
        <f t="shared" si="252"/>
        <v>0</v>
      </c>
      <c r="AS87" s="115"/>
      <c r="AT87" s="67">
        <f t="shared" si="231"/>
        <v>0</v>
      </c>
      <c r="AU87" s="68">
        <f t="shared" si="253"/>
        <v>0</v>
      </c>
      <c r="AW87" s="115">
        <f t="shared" si="260"/>
        <v>8.5</v>
      </c>
      <c r="AX87" s="67">
        <f t="shared" si="233"/>
        <v>1.7803404682519587E-3</v>
      </c>
      <c r="AY87" s="68">
        <f t="shared" si="254"/>
        <v>5725.77</v>
      </c>
      <c r="AZ87" s="115"/>
      <c r="BA87" s="67">
        <f t="shared" si="235"/>
        <v>0</v>
      </c>
      <c r="BB87" s="68">
        <f t="shared" si="255"/>
        <v>0</v>
      </c>
      <c r="BD87" s="115">
        <f t="shared" si="256"/>
        <v>0</v>
      </c>
      <c r="BE87" s="67">
        <f t="shared" si="238"/>
        <v>0</v>
      </c>
      <c r="BF87" s="68">
        <f t="shared" si="257"/>
        <v>0</v>
      </c>
      <c r="BG87" s="133">
        <f t="shared" si="258"/>
        <v>8.5</v>
      </c>
      <c r="BH87" s="67">
        <f t="shared" si="241"/>
        <v>1.7803404682519587E-3</v>
      </c>
      <c r="BI87" s="68">
        <f t="shared" si="259"/>
        <v>5725.77</v>
      </c>
      <c r="BJ87" s="117"/>
      <c r="BL87" s="92"/>
    </row>
    <row r="88" spans="1:64" ht="89.25" x14ac:dyDescent="0.25">
      <c r="A88" s="100" t="str">
        <f>'01 - Orçamento Sintético'!A88</f>
        <v xml:space="preserve"> 3.2.1.5 </v>
      </c>
      <c r="B88" s="101" t="str">
        <f>'01 - Orçamento Sintético'!B88</f>
        <v xml:space="preserve"> 101094 </v>
      </c>
      <c r="C88" s="100" t="str">
        <f>'01 - Orçamento Sintético'!C88</f>
        <v>SINAPI</v>
      </c>
      <c r="D88" s="100" t="str">
        <f>'01 - Orçamento Sintético'!D88</f>
        <v>PISO PODOTÁTIL DE ALERTA OU DIRECIONAL, DE BORRACHA, ASSENTADO SOBRE ARGAMASSA. AF_05/2020</v>
      </c>
      <c r="E88" s="94" t="str">
        <f>'01 - Orçamento Sintético'!E88</f>
        <v>M</v>
      </c>
      <c r="F88" s="94">
        <f>'01 - Orçamento Sintético'!F88</f>
        <v>7.2</v>
      </c>
      <c r="G88" s="68">
        <f>INDEX('01 - Orçamento Sintético'!$A$6:$AB$125,MATCH('02 - Planilha de Medição'!$A88,'01 - Orçamento Sintético'!$A$6:$A$125,0),23)</f>
        <v>19.66</v>
      </c>
      <c r="H88" s="68">
        <f>INDEX('01 - Orçamento Sintético'!$A$6:$AB$125,MATCH('02 - Planilha de Medição'!$A88,'01 - Orçamento Sintético'!$A$6:$A$125,0),24)</f>
        <v>182.85</v>
      </c>
      <c r="I88" s="68">
        <f>INDEX('01 - Orçamento Sintético'!$A$6:$AB$125,MATCH('02 - Planilha de Medição'!$A88,'01 - Orçamento Sintético'!$A$6:$A$125,0),25)</f>
        <v>202.51</v>
      </c>
      <c r="J88" s="68">
        <f>INDEX('01 - Orçamento Sintético'!$A$6:$AB$125,MATCH('02 - Planilha de Medição'!$A88,'01 - Orçamento Sintético'!$A$6:$A$125,0),26)</f>
        <v>141.55000000000001</v>
      </c>
      <c r="K88" s="68">
        <f>INDEX('01 - Orçamento Sintético'!$A$6:$AB$125,MATCH('02 - Planilha de Medição'!$A88,'01 - Orçamento Sintético'!$A$6:$A$125,0),27)</f>
        <v>1316.52</v>
      </c>
      <c r="L88" s="68">
        <f>INDEX('01 - Orçamento Sintético'!$A$6:$AB$125,MATCH('02 - Planilha de Medição'!$A88,'01 - Orçamento Sintético'!$A$6:$A$125,0),28)</f>
        <v>1458.07</v>
      </c>
      <c r="N88" s="115"/>
      <c r="O88" s="67">
        <f t="shared" si="243"/>
        <v>0</v>
      </c>
      <c r="P88" s="68">
        <f t="shared" si="244"/>
        <v>0</v>
      </c>
      <c r="Q88" s="115"/>
      <c r="R88" s="67">
        <f t="shared" si="214"/>
        <v>0</v>
      </c>
      <c r="S88" s="68">
        <f t="shared" si="245"/>
        <v>0</v>
      </c>
      <c r="U88" s="115"/>
      <c r="V88" s="67">
        <f t="shared" si="216"/>
        <v>0</v>
      </c>
      <c r="W88" s="68">
        <f t="shared" si="246"/>
        <v>0</v>
      </c>
      <c r="X88" s="115"/>
      <c r="Y88" s="67">
        <f t="shared" si="218"/>
        <v>0</v>
      </c>
      <c r="Z88" s="68">
        <f t="shared" si="247"/>
        <v>0</v>
      </c>
      <c r="AB88" s="115"/>
      <c r="AC88" s="67">
        <f t="shared" si="220"/>
        <v>0</v>
      </c>
      <c r="AD88" s="68">
        <f t="shared" si="248"/>
        <v>0</v>
      </c>
      <c r="AE88" s="115"/>
      <c r="AF88" s="67">
        <f t="shared" si="222"/>
        <v>0</v>
      </c>
      <c r="AG88" s="68">
        <f t="shared" si="249"/>
        <v>0</v>
      </c>
      <c r="AI88" s="115"/>
      <c r="AJ88" s="67">
        <f t="shared" si="224"/>
        <v>0</v>
      </c>
      <c r="AK88" s="68">
        <f t="shared" si="250"/>
        <v>0</v>
      </c>
      <c r="AL88" s="115"/>
      <c r="AM88" s="67">
        <f t="shared" si="226"/>
        <v>0</v>
      </c>
      <c r="AN88" s="68">
        <f t="shared" si="251"/>
        <v>0</v>
      </c>
      <c r="AP88" s="115"/>
      <c r="AQ88" s="67">
        <f t="shared" si="229"/>
        <v>0</v>
      </c>
      <c r="AR88" s="68">
        <f t="shared" si="252"/>
        <v>0</v>
      </c>
      <c r="AS88" s="115"/>
      <c r="AT88" s="67">
        <f t="shared" si="231"/>
        <v>0</v>
      </c>
      <c r="AU88" s="68">
        <f t="shared" si="253"/>
        <v>0</v>
      </c>
      <c r="AW88" s="115">
        <f t="shared" si="260"/>
        <v>7.2</v>
      </c>
      <c r="AX88" s="67">
        <f t="shared" si="233"/>
        <v>4.5336453028049209E-4</v>
      </c>
      <c r="AY88" s="68">
        <f t="shared" si="254"/>
        <v>1458.07</v>
      </c>
      <c r="AZ88" s="115"/>
      <c r="BA88" s="67">
        <f t="shared" si="235"/>
        <v>0</v>
      </c>
      <c r="BB88" s="68">
        <f t="shared" si="255"/>
        <v>0</v>
      </c>
      <c r="BD88" s="115">
        <f t="shared" si="256"/>
        <v>0</v>
      </c>
      <c r="BE88" s="67">
        <f t="shared" si="238"/>
        <v>0</v>
      </c>
      <c r="BF88" s="68">
        <f t="shared" si="257"/>
        <v>0</v>
      </c>
      <c r="BG88" s="133">
        <f t="shared" si="258"/>
        <v>7.2</v>
      </c>
      <c r="BH88" s="67">
        <f t="shared" si="241"/>
        <v>4.5336453028049209E-4</v>
      </c>
      <c r="BI88" s="68">
        <f t="shared" si="259"/>
        <v>1458.07</v>
      </c>
      <c r="BJ88" s="117"/>
      <c r="BL88" s="92"/>
    </row>
    <row r="89" spans="1:64" x14ac:dyDescent="0.25">
      <c r="A89" s="99" t="str">
        <f>'01 - Orçamento Sintético'!A89</f>
        <v xml:space="preserve"> 3.2.2 </v>
      </c>
      <c r="B89" s="99"/>
      <c r="C89" s="99"/>
      <c r="D89" s="99" t="str">
        <f>'01 - Orçamento Sintético'!D89</f>
        <v>Rampa Externa</v>
      </c>
      <c r="E89" s="99"/>
      <c r="F89" s="93"/>
      <c r="G89" s="69"/>
      <c r="H89" s="69"/>
      <c r="I89" s="69"/>
      <c r="J89" s="69"/>
      <c r="K89" s="69"/>
      <c r="L89" s="70">
        <f>INDEX('01 - Orçamento Sintético'!$A$6:$AB$125,MATCH('02 - Planilha de Medição'!$A89,'01 - Orçamento Sintético'!$A$6:$A$125,0),28)</f>
        <v>17679</v>
      </c>
      <c r="N89" s="116"/>
      <c r="O89" s="120">
        <f t="shared" si="243"/>
        <v>0</v>
      </c>
      <c r="P89" s="70">
        <f>SUM(P90:P93)</f>
        <v>0</v>
      </c>
      <c r="Q89" s="116"/>
      <c r="R89" s="120">
        <f t="shared" si="214"/>
        <v>0</v>
      </c>
      <c r="S89" s="70">
        <f>SUM(S90:S93)</f>
        <v>0</v>
      </c>
      <c r="U89" s="116"/>
      <c r="V89" s="120">
        <f t="shared" si="216"/>
        <v>0</v>
      </c>
      <c r="W89" s="70">
        <f>SUM(W90:W93)</f>
        <v>0</v>
      </c>
      <c r="X89" s="116"/>
      <c r="Y89" s="120">
        <f t="shared" si="218"/>
        <v>0</v>
      </c>
      <c r="Z89" s="70">
        <f>SUM(Z90:Z93)</f>
        <v>0</v>
      </c>
      <c r="AB89" s="116"/>
      <c r="AC89" s="120">
        <f t="shared" si="220"/>
        <v>0</v>
      </c>
      <c r="AD89" s="70">
        <f>SUM(AD90:AD93)</f>
        <v>0</v>
      </c>
      <c r="AE89" s="116"/>
      <c r="AF89" s="120">
        <f t="shared" si="222"/>
        <v>0</v>
      </c>
      <c r="AG89" s="70">
        <f>SUM(AG90:AG93)</f>
        <v>0</v>
      </c>
      <c r="AI89" s="116"/>
      <c r="AJ89" s="120">
        <f t="shared" si="224"/>
        <v>0</v>
      </c>
      <c r="AK89" s="70">
        <f>SUM(AK90:AK93)</f>
        <v>0</v>
      </c>
      <c r="AL89" s="116"/>
      <c r="AM89" s="120">
        <f t="shared" si="226"/>
        <v>0</v>
      </c>
      <c r="AN89" s="70">
        <f>SUM(AN90:AN93)</f>
        <v>0</v>
      </c>
      <c r="AP89" s="116"/>
      <c r="AQ89" s="120">
        <f t="shared" si="229"/>
        <v>0</v>
      </c>
      <c r="AR89" s="70">
        <f>SUM(AR90:AR93)</f>
        <v>0</v>
      </c>
      <c r="AS89" s="116"/>
      <c r="AT89" s="120">
        <f t="shared" si="231"/>
        <v>0</v>
      </c>
      <c r="AU89" s="70">
        <f>SUM(AU90:AU93)</f>
        <v>0</v>
      </c>
      <c r="AW89" s="116"/>
      <c r="AX89" s="120">
        <f t="shared" si="233"/>
        <v>5.4970142248512216E-3</v>
      </c>
      <c r="AY89" s="70">
        <f>SUM(AY90:AY93)</f>
        <v>17679</v>
      </c>
      <c r="AZ89" s="116"/>
      <c r="BA89" s="120">
        <f t="shared" si="235"/>
        <v>0</v>
      </c>
      <c r="BB89" s="70">
        <f>SUM(BB90:BB93)</f>
        <v>0</v>
      </c>
      <c r="BD89" s="116"/>
      <c r="BE89" s="120">
        <f t="shared" si="238"/>
        <v>0</v>
      </c>
      <c r="BF89" s="70">
        <f>SUM(BF90:BF93)</f>
        <v>0</v>
      </c>
      <c r="BG89" s="134"/>
      <c r="BH89" s="120">
        <f t="shared" si="241"/>
        <v>5.4970142248512216E-3</v>
      </c>
      <c r="BI89" s="70">
        <f>SUM(BI90:BI93)</f>
        <v>17679</v>
      </c>
      <c r="BJ89" s="117"/>
      <c r="BL89" s="92"/>
    </row>
    <row r="90" spans="1:64" ht="89.25" x14ac:dyDescent="0.25">
      <c r="A90" s="100" t="str">
        <f>'01 - Orçamento Sintético'!A90</f>
        <v xml:space="preserve"> 3.2.2.1 </v>
      </c>
      <c r="B90" s="101" t="str">
        <f>'01 - Orçamento Sintético'!B90</f>
        <v xml:space="preserve"> 92268 </v>
      </c>
      <c r="C90" s="100" t="str">
        <f>'01 - Orçamento Sintético'!C90</f>
        <v>SINAPI</v>
      </c>
      <c r="D90" s="100" t="str">
        <f>'01 - Orçamento Sintético'!D90</f>
        <v>FABRICAÇÃO DE FÔRMA PARA LAJES, EM CHAPA DE MADEIRA COMPENSADA PLASTIFICADA, E = 18 MM. AF_09/2020</v>
      </c>
      <c r="E90" s="94" t="str">
        <f>'01 - Orçamento Sintético'!E90</f>
        <v>m²</v>
      </c>
      <c r="F90" s="94">
        <f>'01 - Orçamento Sintético'!F90</f>
        <v>5.85</v>
      </c>
      <c r="G90" s="68">
        <f>INDEX('01 - Orçamento Sintético'!$A$6:$AB$125,MATCH('02 - Planilha de Medição'!$A90,'01 - Orçamento Sintético'!$A$6:$A$125,0),23)</f>
        <v>1.1399999999999999</v>
      </c>
      <c r="H90" s="68">
        <f>INDEX('01 - Orçamento Sintético'!$A$6:$AB$125,MATCH('02 - Planilha de Medição'!$A90,'01 - Orçamento Sintético'!$A$6:$A$125,0),24)</f>
        <v>95.22</v>
      </c>
      <c r="I90" s="68">
        <f>INDEX('01 - Orçamento Sintético'!$A$6:$AB$125,MATCH('02 - Planilha de Medição'!$A90,'01 - Orçamento Sintético'!$A$6:$A$125,0),25)</f>
        <v>96.36</v>
      </c>
      <c r="J90" s="68">
        <f>INDEX('01 - Orçamento Sintético'!$A$6:$AB$125,MATCH('02 - Planilha de Medição'!$A90,'01 - Orçamento Sintético'!$A$6:$A$125,0),26)</f>
        <v>6.66</v>
      </c>
      <c r="K90" s="68">
        <f>INDEX('01 - Orçamento Sintético'!$A$6:$AB$125,MATCH('02 - Planilha de Medição'!$A90,'01 - Orçamento Sintético'!$A$6:$A$125,0),27)</f>
        <v>557.04000000000008</v>
      </c>
      <c r="L90" s="68">
        <f>INDEX('01 - Orçamento Sintético'!$A$6:$AB$125,MATCH('02 - Planilha de Medição'!$A90,'01 - Orçamento Sintético'!$A$6:$A$125,0),28)</f>
        <v>563.70000000000005</v>
      </c>
      <c r="N90" s="115"/>
      <c r="O90" s="67">
        <f t="shared" si="243"/>
        <v>0</v>
      </c>
      <c r="P90" s="68">
        <f t="shared" ref="P90:P93" si="261">TRUNC(N90*$I90,2)</f>
        <v>0</v>
      </c>
      <c r="Q90" s="115"/>
      <c r="R90" s="67">
        <f t="shared" si="214"/>
        <v>0</v>
      </c>
      <c r="S90" s="68">
        <f t="shared" ref="S90:S93" si="262">TRUNC(Q90*$I90,2)</f>
        <v>0</v>
      </c>
      <c r="U90" s="115"/>
      <c r="V90" s="67">
        <f t="shared" si="216"/>
        <v>0</v>
      </c>
      <c r="W90" s="68">
        <f t="shared" ref="W90:W93" si="263">TRUNC(U90*$I90,2)</f>
        <v>0</v>
      </c>
      <c r="X90" s="115"/>
      <c r="Y90" s="67">
        <f t="shared" si="218"/>
        <v>0</v>
      </c>
      <c r="Z90" s="68">
        <f t="shared" ref="Z90:Z93" si="264">TRUNC(X90*$I90,2)</f>
        <v>0</v>
      </c>
      <c r="AB90" s="115"/>
      <c r="AC90" s="67">
        <f t="shared" si="220"/>
        <v>0</v>
      </c>
      <c r="AD90" s="68">
        <f t="shared" ref="AD90:AD93" si="265">TRUNC(AB90*$I90,2)</f>
        <v>0</v>
      </c>
      <c r="AE90" s="115"/>
      <c r="AF90" s="67">
        <f t="shared" si="222"/>
        <v>0</v>
      </c>
      <c r="AG90" s="68">
        <f t="shared" ref="AG90:AG93" si="266">TRUNC(AE90*$I90,2)</f>
        <v>0</v>
      </c>
      <c r="AI90" s="115"/>
      <c r="AJ90" s="67">
        <f t="shared" si="224"/>
        <v>0</v>
      </c>
      <c r="AK90" s="68">
        <f t="shared" ref="AK90:AK93" si="267">TRUNC(AI90*$I90,2)</f>
        <v>0</v>
      </c>
      <c r="AL90" s="115"/>
      <c r="AM90" s="67">
        <f t="shared" si="226"/>
        <v>0</v>
      </c>
      <c r="AN90" s="68">
        <f t="shared" ref="AN90:AN93" si="268">TRUNC(AL90*$I90,2)</f>
        <v>0</v>
      </c>
      <c r="AP90" s="115"/>
      <c r="AQ90" s="67">
        <f t="shared" si="229"/>
        <v>0</v>
      </c>
      <c r="AR90" s="68">
        <f t="shared" ref="AR90:AR93" si="269">TRUNC(AP90*$I90,2)</f>
        <v>0</v>
      </c>
      <c r="AS90" s="115"/>
      <c r="AT90" s="67">
        <f t="shared" si="231"/>
        <v>0</v>
      </c>
      <c r="AU90" s="68">
        <f t="shared" ref="AU90:AU93" si="270">TRUNC(AS90*$I90,2)</f>
        <v>0</v>
      </c>
      <c r="AW90" s="115">
        <f>F90</f>
        <v>5.85</v>
      </c>
      <c r="AX90" s="67">
        <f t="shared" si="233"/>
        <v>1.7527387966223394E-4</v>
      </c>
      <c r="AY90" s="68">
        <f t="shared" ref="AY90:AY93" si="271">TRUNC(AW90*$I90,2)</f>
        <v>563.70000000000005</v>
      </c>
      <c r="AZ90" s="115"/>
      <c r="BA90" s="67">
        <f t="shared" si="235"/>
        <v>0</v>
      </c>
      <c r="BB90" s="68">
        <f t="shared" ref="BB90:BB93" si="272">TRUNC(AZ90*$I90,2)</f>
        <v>0</v>
      </c>
      <c r="BD90" s="115">
        <f t="shared" ref="BD90:BD93" si="273">SUM(Q90,X90,AE90,AL90,AS90,AZ90)</f>
        <v>0</v>
      </c>
      <c r="BE90" s="67">
        <f t="shared" si="238"/>
        <v>0</v>
      </c>
      <c r="BF90" s="68">
        <f t="shared" ref="BF90:BF93" si="274">TRUNC(BD90*$I90,2)</f>
        <v>0</v>
      </c>
      <c r="BG90" s="133">
        <f t="shared" ref="BG90:BG93" si="275">$F90-BD90</f>
        <v>5.85</v>
      </c>
      <c r="BH90" s="67">
        <f t="shared" si="241"/>
        <v>1.7527387966223394E-4</v>
      </c>
      <c r="BI90" s="68">
        <f t="shared" ref="BI90:BI93" si="276">TRUNC(BG90*$I90,2)</f>
        <v>563.70000000000005</v>
      </c>
      <c r="BJ90" s="117"/>
      <c r="BL90" s="92"/>
    </row>
    <row r="91" spans="1:64" ht="114.75" x14ac:dyDescent="0.25">
      <c r="A91" s="100" t="str">
        <f>'01 - Orçamento Sintético'!A91</f>
        <v xml:space="preserve"> 3.2.2.2 </v>
      </c>
      <c r="B91" s="101" t="str">
        <f>'01 - Orçamento Sintético'!B91</f>
        <v xml:space="preserve"> 105004 </v>
      </c>
      <c r="C91" s="100" t="str">
        <f>'01 - Orçamento Sintético'!C91</f>
        <v>SINAPI</v>
      </c>
      <c r="D91" s="100" t="str">
        <f>'01 - Orçamento Sintético'!D91</f>
        <v>RAMPA DE ACESSIBILIDADE EM CONCRETO MOLDADO IN LOCO, EM CALÇADA NOVA COM LARGURA MENOR À 3,00 M, FCK 25MPA, COM PISO PODOTÁTIL. AF_03/2024</v>
      </c>
      <c r="E91" s="94" t="str">
        <f>'01 - Orçamento Sintético'!E91</f>
        <v>m²</v>
      </c>
      <c r="F91" s="94">
        <f>'01 - Orçamento Sintético'!F91</f>
        <v>9.7725000000000009</v>
      </c>
      <c r="G91" s="68">
        <f>INDEX('01 - Orçamento Sintético'!$A$6:$AB$125,MATCH('02 - Planilha de Medição'!$A91,'01 - Orçamento Sintético'!$A$6:$A$125,0),23)</f>
        <v>65.67</v>
      </c>
      <c r="H91" s="68">
        <f>INDEX('01 - Orçamento Sintético'!$A$6:$AB$125,MATCH('02 - Planilha de Medição'!$A91,'01 - Orçamento Sintético'!$A$6:$A$125,0),24)</f>
        <v>94.070000000000007</v>
      </c>
      <c r="I91" s="68">
        <f>INDEX('01 - Orçamento Sintético'!$A$6:$AB$125,MATCH('02 - Planilha de Medição'!$A91,'01 - Orçamento Sintético'!$A$6:$A$125,0),25)</f>
        <v>159.74</v>
      </c>
      <c r="J91" s="68">
        <f>INDEX('01 - Orçamento Sintético'!$A$6:$AB$125,MATCH('02 - Planilha de Medição'!$A91,'01 - Orçamento Sintético'!$A$6:$A$125,0),26)</f>
        <v>641.76</v>
      </c>
      <c r="K91" s="68">
        <f>INDEX('01 - Orçamento Sintético'!$A$6:$AB$125,MATCH('02 - Planilha de Medição'!$A91,'01 - Orçamento Sintético'!$A$6:$A$125,0),27)</f>
        <v>919.29</v>
      </c>
      <c r="L91" s="68">
        <f>INDEX('01 - Orçamento Sintético'!$A$6:$AB$125,MATCH('02 - Planilha de Medição'!$A91,'01 - Orçamento Sintético'!$A$6:$A$125,0),28)</f>
        <v>1561.05</v>
      </c>
      <c r="N91" s="115"/>
      <c r="O91" s="67">
        <f t="shared" si="243"/>
        <v>0</v>
      </c>
      <c r="P91" s="68">
        <f t="shared" si="261"/>
        <v>0</v>
      </c>
      <c r="Q91" s="115"/>
      <c r="R91" s="67">
        <f t="shared" si="214"/>
        <v>0</v>
      </c>
      <c r="S91" s="68">
        <f t="shared" si="262"/>
        <v>0</v>
      </c>
      <c r="U91" s="115"/>
      <c r="V91" s="67">
        <f t="shared" si="216"/>
        <v>0</v>
      </c>
      <c r="W91" s="68">
        <f t="shared" si="263"/>
        <v>0</v>
      </c>
      <c r="X91" s="115"/>
      <c r="Y91" s="67">
        <f t="shared" si="218"/>
        <v>0</v>
      </c>
      <c r="Z91" s="68">
        <f t="shared" si="264"/>
        <v>0</v>
      </c>
      <c r="AB91" s="115"/>
      <c r="AC91" s="67">
        <f t="shared" si="220"/>
        <v>0</v>
      </c>
      <c r="AD91" s="68">
        <f t="shared" si="265"/>
        <v>0</v>
      </c>
      <c r="AE91" s="115"/>
      <c r="AF91" s="67">
        <f t="shared" si="222"/>
        <v>0</v>
      </c>
      <c r="AG91" s="68">
        <f t="shared" si="266"/>
        <v>0</v>
      </c>
      <c r="AI91" s="115"/>
      <c r="AJ91" s="67">
        <f t="shared" si="224"/>
        <v>0</v>
      </c>
      <c r="AK91" s="68">
        <f t="shared" si="267"/>
        <v>0</v>
      </c>
      <c r="AL91" s="115"/>
      <c r="AM91" s="67">
        <f t="shared" si="226"/>
        <v>0</v>
      </c>
      <c r="AN91" s="68">
        <f t="shared" si="268"/>
        <v>0</v>
      </c>
      <c r="AP91" s="115"/>
      <c r="AQ91" s="67">
        <f t="shared" si="229"/>
        <v>0</v>
      </c>
      <c r="AR91" s="68">
        <f t="shared" si="269"/>
        <v>0</v>
      </c>
      <c r="AS91" s="115"/>
      <c r="AT91" s="67">
        <f t="shared" si="231"/>
        <v>0</v>
      </c>
      <c r="AU91" s="68">
        <f t="shared" si="270"/>
        <v>0</v>
      </c>
      <c r="AW91" s="115">
        <f t="shared" ref="AW91:AW93" si="277">F91</f>
        <v>9.7725000000000009</v>
      </c>
      <c r="AX91" s="67">
        <f t="shared" si="233"/>
        <v>4.853845837266813E-4</v>
      </c>
      <c r="AY91" s="68">
        <f t="shared" si="271"/>
        <v>1561.05</v>
      </c>
      <c r="AZ91" s="115"/>
      <c r="BA91" s="67">
        <f t="shared" si="235"/>
        <v>0</v>
      </c>
      <c r="BB91" s="68">
        <f t="shared" si="272"/>
        <v>0</v>
      </c>
      <c r="BD91" s="115">
        <f t="shared" si="273"/>
        <v>0</v>
      </c>
      <c r="BE91" s="67">
        <f t="shared" si="238"/>
        <v>0</v>
      </c>
      <c r="BF91" s="68">
        <f t="shared" si="274"/>
        <v>0</v>
      </c>
      <c r="BG91" s="133">
        <f t="shared" si="275"/>
        <v>9.7725000000000009</v>
      </c>
      <c r="BH91" s="67">
        <f t="shared" si="241"/>
        <v>4.853845837266813E-4</v>
      </c>
      <c r="BI91" s="68">
        <f t="shared" si="276"/>
        <v>1561.05</v>
      </c>
      <c r="BJ91" s="117"/>
      <c r="BL91" s="92"/>
    </row>
    <row r="92" spans="1:64" ht="25.5" x14ac:dyDescent="0.25">
      <c r="A92" s="100" t="str">
        <f>'01 - Orçamento Sintético'!A92</f>
        <v xml:space="preserve"> 3.2.2.3 </v>
      </c>
      <c r="B92" s="101" t="str">
        <f>'01 - Orçamento Sintético'!B92</f>
        <v xml:space="preserve"> 8759 </v>
      </c>
      <c r="C92" s="100" t="str">
        <f>'01 - Orçamento Sintético'!C92</f>
        <v>ORSE</v>
      </c>
      <c r="D92" s="100" t="str">
        <f>'01 - Orçamento Sintético'!D92</f>
        <v>Corrimão em aço inox ø=1 1/2", duplo, h=90cm</v>
      </c>
      <c r="E92" s="94" t="str">
        <f>'01 - Orçamento Sintético'!E92</f>
        <v>m</v>
      </c>
      <c r="F92" s="94">
        <f>'01 - Orçamento Sintético'!F92</f>
        <v>12.4</v>
      </c>
      <c r="G92" s="68">
        <f>INDEX('01 - Orçamento Sintético'!$A$6:$AB$125,MATCH('02 - Planilha de Medição'!$A92,'01 - Orçamento Sintético'!$A$6:$A$125,0),23)</f>
        <v>56.81</v>
      </c>
      <c r="H92" s="68">
        <f>INDEX('01 - Orçamento Sintético'!$A$6:$AB$125,MATCH('02 - Planilha de Medição'!$A92,'01 - Orçamento Sintético'!$A$6:$A$125,0),24)</f>
        <v>342.53</v>
      </c>
      <c r="I92" s="68">
        <f>INDEX('01 - Orçamento Sintético'!$A$6:$AB$125,MATCH('02 - Planilha de Medição'!$A92,'01 - Orçamento Sintético'!$A$6:$A$125,0),25)</f>
        <v>399.34</v>
      </c>
      <c r="J92" s="68">
        <f>INDEX('01 - Orçamento Sintético'!$A$6:$AB$125,MATCH('02 - Planilha de Medição'!$A92,'01 - Orçamento Sintético'!$A$6:$A$125,0),26)</f>
        <v>704.44</v>
      </c>
      <c r="K92" s="68">
        <f>INDEX('01 - Orçamento Sintético'!$A$6:$AB$125,MATCH('02 - Planilha de Medição'!$A92,'01 - Orçamento Sintético'!$A$6:$A$125,0),27)</f>
        <v>4247.3700000000008</v>
      </c>
      <c r="L92" s="68">
        <f>INDEX('01 - Orçamento Sintético'!$A$6:$AB$125,MATCH('02 - Planilha de Medição'!$A92,'01 - Orçamento Sintético'!$A$6:$A$125,0),28)</f>
        <v>4951.8100000000004</v>
      </c>
      <c r="N92" s="115"/>
      <c r="O92" s="67">
        <f t="shared" si="243"/>
        <v>0</v>
      </c>
      <c r="P92" s="68">
        <f t="shared" si="261"/>
        <v>0</v>
      </c>
      <c r="Q92" s="115"/>
      <c r="R92" s="67">
        <f t="shared" si="214"/>
        <v>0</v>
      </c>
      <c r="S92" s="68">
        <f t="shared" si="262"/>
        <v>0</v>
      </c>
      <c r="U92" s="115"/>
      <c r="V92" s="67">
        <f t="shared" si="216"/>
        <v>0</v>
      </c>
      <c r="W92" s="68">
        <f t="shared" si="263"/>
        <v>0</v>
      </c>
      <c r="X92" s="115"/>
      <c r="Y92" s="67">
        <f t="shared" si="218"/>
        <v>0</v>
      </c>
      <c r="Z92" s="68">
        <f t="shared" si="264"/>
        <v>0</v>
      </c>
      <c r="AB92" s="115"/>
      <c r="AC92" s="67">
        <f t="shared" si="220"/>
        <v>0</v>
      </c>
      <c r="AD92" s="68">
        <f t="shared" si="265"/>
        <v>0</v>
      </c>
      <c r="AE92" s="115"/>
      <c r="AF92" s="67">
        <f t="shared" si="222"/>
        <v>0</v>
      </c>
      <c r="AG92" s="68">
        <f t="shared" si="266"/>
        <v>0</v>
      </c>
      <c r="AI92" s="115"/>
      <c r="AJ92" s="67">
        <f t="shared" si="224"/>
        <v>0</v>
      </c>
      <c r="AK92" s="68">
        <f t="shared" si="267"/>
        <v>0</v>
      </c>
      <c r="AL92" s="115"/>
      <c r="AM92" s="67">
        <f t="shared" si="226"/>
        <v>0</v>
      </c>
      <c r="AN92" s="68">
        <f t="shared" si="268"/>
        <v>0</v>
      </c>
      <c r="AP92" s="115"/>
      <c r="AQ92" s="67">
        <f t="shared" si="229"/>
        <v>0</v>
      </c>
      <c r="AR92" s="68">
        <f t="shared" si="269"/>
        <v>0</v>
      </c>
      <c r="AS92" s="115"/>
      <c r="AT92" s="67">
        <f t="shared" si="231"/>
        <v>0</v>
      </c>
      <c r="AU92" s="68">
        <f t="shared" si="270"/>
        <v>0</v>
      </c>
      <c r="AW92" s="115">
        <f t="shared" si="277"/>
        <v>12.4</v>
      </c>
      <c r="AX92" s="67">
        <f t="shared" si="233"/>
        <v>1.5396894625691797E-3</v>
      </c>
      <c r="AY92" s="68">
        <f t="shared" si="271"/>
        <v>4951.8100000000004</v>
      </c>
      <c r="AZ92" s="115"/>
      <c r="BA92" s="67">
        <f t="shared" si="235"/>
        <v>0</v>
      </c>
      <c r="BB92" s="68">
        <f t="shared" si="272"/>
        <v>0</v>
      </c>
      <c r="BD92" s="115">
        <f t="shared" si="273"/>
        <v>0</v>
      </c>
      <c r="BE92" s="67">
        <f t="shared" si="238"/>
        <v>0</v>
      </c>
      <c r="BF92" s="68">
        <f t="shared" si="274"/>
        <v>0</v>
      </c>
      <c r="BG92" s="133">
        <f t="shared" si="275"/>
        <v>12.4</v>
      </c>
      <c r="BH92" s="67">
        <f t="shared" si="241"/>
        <v>1.5396894625691797E-3</v>
      </c>
      <c r="BI92" s="68">
        <f t="shared" si="276"/>
        <v>4951.8100000000004</v>
      </c>
      <c r="BJ92" s="117"/>
      <c r="BL92" s="92"/>
    </row>
    <row r="93" spans="1:64" ht="89.25" x14ac:dyDescent="0.25">
      <c r="A93" s="100" t="str">
        <f>'01 - Orçamento Sintético'!A93</f>
        <v xml:space="preserve"> 3.2.2.4 </v>
      </c>
      <c r="B93" s="101" t="str">
        <f>'01 - Orçamento Sintético'!B93</f>
        <v xml:space="preserve"> 13030 </v>
      </c>
      <c r="C93" s="100" t="str">
        <f>'01 - Orçamento Sintético'!C93</f>
        <v>ORSE</v>
      </c>
      <c r="D93" s="100" t="str">
        <f>'01 - Orçamento Sintético'!D93</f>
        <v>Bicicletário em tubo de aço galvanizado diam=2.1/2", para 6 bicicletas, chumbadas no piso, incluso pintura de acabamento com 02 demãos</v>
      </c>
      <c r="E93" s="94" t="str">
        <f>'01 - Orçamento Sintético'!E93</f>
        <v>un</v>
      </c>
      <c r="F93" s="94">
        <f>'01 - Orçamento Sintético'!F93</f>
        <v>2</v>
      </c>
      <c r="G93" s="68">
        <f>INDEX('01 - Orçamento Sintético'!$A$6:$AB$125,MATCH('02 - Planilha de Medição'!$A93,'01 - Orçamento Sintético'!$A$6:$A$125,0),23)</f>
        <v>1345.4</v>
      </c>
      <c r="H93" s="68">
        <f>INDEX('01 - Orçamento Sintético'!$A$6:$AB$125,MATCH('02 - Planilha de Medição'!$A93,'01 - Orçamento Sintético'!$A$6:$A$125,0),24)</f>
        <v>3955.82</v>
      </c>
      <c r="I93" s="68">
        <f>INDEX('01 - Orçamento Sintético'!$A$6:$AB$125,MATCH('02 - Planilha de Medição'!$A93,'01 - Orçamento Sintético'!$A$6:$A$125,0),25)</f>
        <v>5301.22</v>
      </c>
      <c r="J93" s="68">
        <f>INDEX('01 - Orçamento Sintético'!$A$6:$AB$125,MATCH('02 - Planilha de Medição'!$A93,'01 - Orçamento Sintético'!$A$6:$A$125,0),26)</f>
        <v>2690.8</v>
      </c>
      <c r="K93" s="68">
        <f>INDEX('01 - Orçamento Sintético'!$A$6:$AB$125,MATCH('02 - Planilha de Medição'!$A93,'01 - Orçamento Sintético'!$A$6:$A$125,0),27)</f>
        <v>7911.64</v>
      </c>
      <c r="L93" s="68">
        <f>INDEX('01 - Orçamento Sintético'!$A$6:$AB$125,MATCH('02 - Planilha de Medição'!$A93,'01 - Orçamento Sintético'!$A$6:$A$125,0),28)</f>
        <v>10602.44</v>
      </c>
      <c r="N93" s="115"/>
      <c r="O93" s="67">
        <f t="shared" si="243"/>
        <v>0</v>
      </c>
      <c r="P93" s="68">
        <f t="shared" si="261"/>
        <v>0</v>
      </c>
      <c r="Q93" s="115"/>
      <c r="R93" s="67">
        <f t="shared" si="214"/>
        <v>0</v>
      </c>
      <c r="S93" s="68">
        <f t="shared" si="262"/>
        <v>0</v>
      </c>
      <c r="U93" s="115"/>
      <c r="V93" s="67">
        <f t="shared" si="216"/>
        <v>0</v>
      </c>
      <c r="W93" s="68">
        <f t="shared" si="263"/>
        <v>0</v>
      </c>
      <c r="X93" s="115"/>
      <c r="Y93" s="67">
        <f t="shared" si="218"/>
        <v>0</v>
      </c>
      <c r="Z93" s="68">
        <f t="shared" si="264"/>
        <v>0</v>
      </c>
      <c r="AB93" s="115"/>
      <c r="AC93" s="67">
        <f t="shared" si="220"/>
        <v>0</v>
      </c>
      <c r="AD93" s="68">
        <f t="shared" si="265"/>
        <v>0</v>
      </c>
      <c r="AE93" s="115"/>
      <c r="AF93" s="67">
        <f t="shared" si="222"/>
        <v>0</v>
      </c>
      <c r="AG93" s="68">
        <f t="shared" si="266"/>
        <v>0</v>
      </c>
      <c r="AI93" s="115"/>
      <c r="AJ93" s="67">
        <f t="shared" si="224"/>
        <v>0</v>
      </c>
      <c r="AK93" s="68">
        <f t="shared" si="267"/>
        <v>0</v>
      </c>
      <c r="AL93" s="115"/>
      <c r="AM93" s="67">
        <f t="shared" si="226"/>
        <v>0</v>
      </c>
      <c r="AN93" s="68">
        <f t="shared" si="268"/>
        <v>0</v>
      </c>
      <c r="AP93" s="115"/>
      <c r="AQ93" s="67">
        <f t="shared" si="229"/>
        <v>0</v>
      </c>
      <c r="AR93" s="68">
        <f t="shared" si="269"/>
        <v>0</v>
      </c>
      <c r="AS93" s="115"/>
      <c r="AT93" s="67">
        <f t="shared" si="231"/>
        <v>0</v>
      </c>
      <c r="AU93" s="68">
        <f t="shared" si="270"/>
        <v>0</v>
      </c>
      <c r="AW93" s="115">
        <f t="shared" si="277"/>
        <v>2</v>
      </c>
      <c r="AX93" s="67">
        <f t="shared" si="233"/>
        <v>3.2966662988931266E-3</v>
      </c>
      <c r="AY93" s="68">
        <f t="shared" si="271"/>
        <v>10602.44</v>
      </c>
      <c r="AZ93" s="115"/>
      <c r="BA93" s="67">
        <f t="shared" si="235"/>
        <v>0</v>
      </c>
      <c r="BB93" s="68">
        <f t="shared" si="272"/>
        <v>0</v>
      </c>
      <c r="BD93" s="115">
        <f t="shared" si="273"/>
        <v>0</v>
      </c>
      <c r="BE93" s="67">
        <f t="shared" si="238"/>
        <v>0</v>
      </c>
      <c r="BF93" s="68">
        <f t="shared" si="274"/>
        <v>0</v>
      </c>
      <c r="BG93" s="133">
        <f t="shared" si="275"/>
        <v>2</v>
      </c>
      <c r="BH93" s="67">
        <f t="shared" si="241"/>
        <v>3.2966662988931266E-3</v>
      </c>
      <c r="BI93" s="68">
        <f t="shared" si="276"/>
        <v>10602.44</v>
      </c>
      <c r="BJ93" s="117"/>
      <c r="BL93" s="92"/>
    </row>
    <row r="94" spans="1:64" x14ac:dyDescent="0.25">
      <c r="A94" s="99" t="str">
        <f>'01 - Orçamento Sintético'!A94</f>
        <v xml:space="preserve"> 3.2.3 </v>
      </c>
      <c r="B94" s="99"/>
      <c r="C94" s="99"/>
      <c r="D94" s="99" t="str">
        <f>'01 - Orçamento Sintético'!D94</f>
        <v>Fachadas</v>
      </c>
      <c r="E94" s="99"/>
      <c r="F94" s="93"/>
      <c r="G94" s="69"/>
      <c r="H94" s="69"/>
      <c r="I94" s="69"/>
      <c r="J94" s="69"/>
      <c r="K94" s="69"/>
      <c r="L94" s="70">
        <f>INDEX('01 - Orçamento Sintético'!$A$6:$AB$125,MATCH('02 - Planilha de Medição'!$A94,'01 - Orçamento Sintético'!$A$6:$A$125,0),28)</f>
        <v>32485.57</v>
      </c>
      <c r="N94" s="116"/>
      <c r="O94" s="120">
        <f t="shared" si="243"/>
        <v>0</v>
      </c>
      <c r="P94" s="70">
        <f>P95</f>
        <v>0</v>
      </c>
      <c r="Q94" s="116"/>
      <c r="R94" s="120">
        <f t="shared" si="214"/>
        <v>0</v>
      </c>
      <c r="S94" s="70">
        <f>S95</f>
        <v>0</v>
      </c>
      <c r="U94" s="116"/>
      <c r="V94" s="120">
        <f t="shared" si="216"/>
        <v>0</v>
      </c>
      <c r="W94" s="70">
        <f>W95</f>
        <v>0</v>
      </c>
      <c r="X94" s="116"/>
      <c r="Y94" s="120">
        <f t="shared" si="218"/>
        <v>0</v>
      </c>
      <c r="Z94" s="70">
        <f>Z95</f>
        <v>0</v>
      </c>
      <c r="AB94" s="116"/>
      <c r="AC94" s="120">
        <f t="shared" si="220"/>
        <v>0</v>
      </c>
      <c r="AD94" s="70">
        <f>AD95</f>
        <v>0</v>
      </c>
      <c r="AE94" s="116"/>
      <c r="AF94" s="120">
        <f t="shared" si="222"/>
        <v>0</v>
      </c>
      <c r="AG94" s="70">
        <f>AG95</f>
        <v>0</v>
      </c>
      <c r="AI94" s="116"/>
      <c r="AJ94" s="120">
        <f t="shared" si="224"/>
        <v>1.0100890344046614E-2</v>
      </c>
      <c r="AK94" s="70">
        <f>AK95</f>
        <v>32485.57</v>
      </c>
      <c r="AL94" s="116"/>
      <c r="AM94" s="120">
        <f t="shared" si="226"/>
        <v>0</v>
      </c>
      <c r="AN94" s="70">
        <f>AN95</f>
        <v>0</v>
      </c>
      <c r="AP94" s="116"/>
      <c r="AQ94" s="120">
        <f t="shared" si="229"/>
        <v>0</v>
      </c>
      <c r="AR94" s="70">
        <f>AR95</f>
        <v>0</v>
      </c>
      <c r="AS94" s="116"/>
      <c r="AT94" s="120">
        <f t="shared" si="231"/>
        <v>0</v>
      </c>
      <c r="AU94" s="70">
        <f>AU95</f>
        <v>0</v>
      </c>
      <c r="AW94" s="116"/>
      <c r="AX94" s="120">
        <f t="shared" si="233"/>
        <v>0</v>
      </c>
      <c r="AY94" s="70">
        <f>AY95</f>
        <v>0</v>
      </c>
      <c r="AZ94" s="116"/>
      <c r="BA94" s="120">
        <f t="shared" si="235"/>
        <v>0</v>
      </c>
      <c r="BB94" s="70">
        <f>BB95</f>
        <v>0</v>
      </c>
      <c r="BD94" s="116"/>
      <c r="BE94" s="120">
        <f t="shared" si="238"/>
        <v>0</v>
      </c>
      <c r="BF94" s="70">
        <f>BF95</f>
        <v>0</v>
      </c>
      <c r="BG94" s="134"/>
      <c r="BH94" s="120">
        <f t="shared" si="241"/>
        <v>1.0100890344046614E-2</v>
      </c>
      <c r="BI94" s="70">
        <f>BI95</f>
        <v>32485.57</v>
      </c>
      <c r="BJ94" s="117"/>
      <c r="BL94" s="92"/>
    </row>
    <row r="95" spans="1:64" ht="102" x14ac:dyDescent="0.25">
      <c r="A95" s="100" t="str">
        <f>'01 - Orçamento Sintético'!A95</f>
        <v xml:space="preserve"> 3.2.3.1 </v>
      </c>
      <c r="B95" s="101" t="str">
        <f>'01 - Orçamento Sintético'!B95</f>
        <v xml:space="preserve"> 95622 </v>
      </c>
      <c r="C95" s="100" t="str">
        <f>'01 - Orçamento Sintético'!C95</f>
        <v>SINAPI</v>
      </c>
      <c r="D95" s="100" t="str">
        <f>'01 - Orçamento Sintético'!D95</f>
        <v>APLICAÇÃO MANUAL DE TINTA LÁTEX ACRÍLICA EM PANOS COM PRESENÇA DE VÃOS DE EDIFÍCIOS DE MÚLTIPLOS PAVIMENTOS, DUAS DEMÃOS. AF_03/2024</v>
      </c>
      <c r="E95" s="94" t="str">
        <f>'01 - Orçamento Sintético'!E95</f>
        <v>m²</v>
      </c>
      <c r="F95" s="94">
        <f>'01 - Orçamento Sintético'!F95</f>
        <v>1591.65</v>
      </c>
      <c r="G95" s="68">
        <f>INDEX('01 - Orçamento Sintético'!$A$6:$AB$125,MATCH('02 - Planilha de Medição'!$A95,'01 - Orçamento Sintético'!$A$6:$A$125,0),23)</f>
        <v>9.3800000000000008</v>
      </c>
      <c r="H95" s="68">
        <f>INDEX('01 - Orçamento Sintético'!$A$6:$AB$125,MATCH('02 - Planilha de Medição'!$A95,'01 - Orçamento Sintético'!$A$6:$A$125,0),24)</f>
        <v>11.03</v>
      </c>
      <c r="I95" s="68">
        <f>INDEX('01 - Orçamento Sintético'!$A$6:$AB$125,MATCH('02 - Planilha de Medição'!$A95,'01 - Orçamento Sintético'!$A$6:$A$125,0),25)</f>
        <v>20.41</v>
      </c>
      <c r="J95" s="68">
        <f>INDEX('01 - Orçamento Sintético'!$A$6:$AB$125,MATCH('02 - Planilha de Medição'!$A95,'01 - Orçamento Sintético'!$A$6:$A$125,0),26)</f>
        <v>14929.67</v>
      </c>
      <c r="K95" s="68">
        <f>INDEX('01 - Orçamento Sintético'!$A$6:$AB$125,MATCH('02 - Planilha de Medição'!$A95,'01 - Orçamento Sintético'!$A$6:$A$125,0),27)</f>
        <v>17555.900000000001</v>
      </c>
      <c r="L95" s="68">
        <f>INDEX('01 - Orçamento Sintético'!$A$6:$AB$125,MATCH('02 - Planilha de Medição'!$A95,'01 - Orçamento Sintético'!$A$6:$A$125,0),28)</f>
        <v>32485.57</v>
      </c>
      <c r="N95" s="115"/>
      <c r="O95" s="67">
        <f t="shared" si="243"/>
        <v>0</v>
      </c>
      <c r="P95" s="68">
        <f t="shared" ref="P95" si="278">TRUNC(N95*$I95,2)</f>
        <v>0</v>
      </c>
      <c r="Q95" s="115"/>
      <c r="R95" s="67">
        <f t="shared" si="214"/>
        <v>0</v>
      </c>
      <c r="S95" s="68">
        <f t="shared" ref="S95" si="279">TRUNC(Q95*$I95,2)</f>
        <v>0</v>
      </c>
      <c r="U95" s="115"/>
      <c r="V95" s="67">
        <f t="shared" si="216"/>
        <v>0</v>
      </c>
      <c r="W95" s="68">
        <f t="shared" ref="W95" si="280">TRUNC(U95*$I95,2)</f>
        <v>0</v>
      </c>
      <c r="X95" s="115"/>
      <c r="Y95" s="67">
        <f t="shared" si="218"/>
        <v>0</v>
      </c>
      <c r="Z95" s="68">
        <f t="shared" ref="Z95" si="281">TRUNC(X95*$I95,2)</f>
        <v>0</v>
      </c>
      <c r="AB95" s="115"/>
      <c r="AC95" s="67">
        <f t="shared" si="220"/>
        <v>0</v>
      </c>
      <c r="AD95" s="68">
        <f t="shared" ref="AD95" si="282">TRUNC(AB95*$I95,2)</f>
        <v>0</v>
      </c>
      <c r="AE95" s="115"/>
      <c r="AF95" s="67">
        <f t="shared" si="222"/>
        <v>0</v>
      </c>
      <c r="AG95" s="68">
        <f t="shared" ref="AG95" si="283">TRUNC(AE95*$I95,2)</f>
        <v>0</v>
      </c>
      <c r="AI95" s="115">
        <f>F95</f>
        <v>1591.65</v>
      </c>
      <c r="AJ95" s="67">
        <f t="shared" si="224"/>
        <v>1.0100890344046614E-2</v>
      </c>
      <c r="AK95" s="68">
        <f t="shared" ref="AK95" si="284">TRUNC(AI95*$I95,2)</f>
        <v>32485.57</v>
      </c>
      <c r="AL95" s="115"/>
      <c r="AM95" s="67">
        <f t="shared" si="226"/>
        <v>0</v>
      </c>
      <c r="AN95" s="68">
        <f t="shared" ref="AN95" si="285">TRUNC(AL95*$I95,2)</f>
        <v>0</v>
      </c>
      <c r="AP95" s="115"/>
      <c r="AQ95" s="67">
        <f t="shared" si="229"/>
        <v>0</v>
      </c>
      <c r="AR95" s="68">
        <f t="shared" ref="AR95" si="286">TRUNC(AP95*$I95,2)</f>
        <v>0</v>
      </c>
      <c r="AS95" s="115"/>
      <c r="AT95" s="67">
        <f t="shared" si="231"/>
        <v>0</v>
      </c>
      <c r="AU95" s="68">
        <f t="shared" ref="AU95" si="287">TRUNC(AS95*$I95,2)</f>
        <v>0</v>
      </c>
      <c r="AW95" s="115"/>
      <c r="AX95" s="67">
        <f t="shared" si="233"/>
        <v>0</v>
      </c>
      <c r="AY95" s="68">
        <f t="shared" ref="AY95" si="288">TRUNC(AW95*$I95,2)</f>
        <v>0</v>
      </c>
      <c r="AZ95" s="115"/>
      <c r="BA95" s="67">
        <f t="shared" si="235"/>
        <v>0</v>
      </c>
      <c r="BB95" s="68">
        <f t="shared" ref="BB95" si="289">TRUNC(AZ95*$I95,2)</f>
        <v>0</v>
      </c>
      <c r="BD95" s="115">
        <f t="shared" ref="BD95" si="290">SUM(Q95,X95,AE95,AL95,AS95,AZ95)</f>
        <v>0</v>
      </c>
      <c r="BE95" s="67">
        <f t="shared" si="238"/>
        <v>0</v>
      </c>
      <c r="BF95" s="68">
        <f t="shared" ref="BF95" si="291">TRUNC(BD95*$I95,2)</f>
        <v>0</v>
      </c>
      <c r="BG95" s="133">
        <f t="shared" ref="BG95" si="292">$F95-BD95</f>
        <v>1591.65</v>
      </c>
      <c r="BH95" s="67">
        <f t="shared" si="241"/>
        <v>1.0100890344046614E-2</v>
      </c>
      <c r="BI95" s="68">
        <f t="shared" ref="BI95" si="293">TRUNC(BG95*$I95,2)</f>
        <v>32485.57</v>
      </c>
      <c r="BJ95" s="117"/>
      <c r="BL95" s="92"/>
    </row>
    <row r="96" spans="1:64" x14ac:dyDescent="0.25">
      <c r="A96" s="99" t="str">
        <f>'01 - Orçamento Sintético'!A96</f>
        <v xml:space="preserve"> 3.2.4 </v>
      </c>
      <c r="B96" s="99"/>
      <c r="C96" s="99"/>
      <c r="D96" s="99" t="str">
        <f>'01 - Orçamento Sintético'!D96</f>
        <v>Estacionamento</v>
      </c>
      <c r="E96" s="99"/>
      <c r="F96" s="93"/>
      <c r="G96" s="69"/>
      <c r="H96" s="69"/>
      <c r="I96" s="69"/>
      <c r="J96" s="69"/>
      <c r="K96" s="69"/>
      <c r="L96" s="70">
        <f>INDEX('01 - Orçamento Sintético'!$A$6:$AB$125,MATCH('02 - Planilha de Medição'!$A96,'01 - Orçamento Sintético'!$A$6:$A$125,0),28)</f>
        <v>403652.69</v>
      </c>
      <c r="N96" s="116"/>
      <c r="O96" s="120">
        <f t="shared" si="243"/>
        <v>7.3701326269494383E-2</v>
      </c>
      <c r="P96" s="70">
        <f>SUM(P97:P112)</f>
        <v>237031.53999999998</v>
      </c>
      <c r="Q96" s="116"/>
      <c r="R96" s="120">
        <f t="shared" si="214"/>
        <v>0</v>
      </c>
      <c r="S96" s="70">
        <f>SUM(S97:S112)</f>
        <v>0</v>
      </c>
      <c r="U96" s="116"/>
      <c r="V96" s="120">
        <f t="shared" si="216"/>
        <v>5.180829411794044E-2</v>
      </c>
      <c r="W96" s="70">
        <f>SUM(W97:W112)</f>
        <v>166621.15</v>
      </c>
      <c r="X96" s="116"/>
      <c r="Y96" s="120">
        <f t="shared" si="218"/>
        <v>0</v>
      </c>
      <c r="Z96" s="70">
        <f>SUM(Z97:Z112)</f>
        <v>0</v>
      </c>
      <c r="AB96" s="116"/>
      <c r="AC96" s="120">
        <f t="shared" si="220"/>
        <v>0</v>
      </c>
      <c r="AD96" s="70">
        <f>SUM(AD97:AD112)</f>
        <v>0</v>
      </c>
      <c r="AE96" s="116"/>
      <c r="AF96" s="120">
        <f t="shared" si="222"/>
        <v>0</v>
      </c>
      <c r="AG96" s="70">
        <f>SUM(AG97:AG112)</f>
        <v>0</v>
      </c>
      <c r="AI96" s="116"/>
      <c r="AJ96" s="120">
        <f t="shared" si="224"/>
        <v>0</v>
      </c>
      <c r="AK96" s="70">
        <f>SUM(AK97:AK112)</f>
        <v>0</v>
      </c>
      <c r="AL96" s="116"/>
      <c r="AM96" s="120">
        <f t="shared" si="226"/>
        <v>0</v>
      </c>
      <c r="AN96" s="70">
        <f>SUM(AN97:AN112)</f>
        <v>0</v>
      </c>
      <c r="AP96" s="116"/>
      <c r="AQ96" s="120">
        <f t="shared" si="229"/>
        <v>0</v>
      </c>
      <c r="AR96" s="70">
        <f>SUM(AR97:AR112)</f>
        <v>0</v>
      </c>
      <c r="AS96" s="116"/>
      <c r="AT96" s="120">
        <f t="shared" si="231"/>
        <v>0</v>
      </c>
      <c r="AU96" s="70">
        <f>SUM(AU97:AU112)</f>
        <v>0</v>
      </c>
      <c r="AW96" s="116"/>
      <c r="AX96" s="120">
        <f t="shared" si="233"/>
        <v>0</v>
      </c>
      <c r="AY96" s="70">
        <f>SUM(AY97:AY112)</f>
        <v>0</v>
      </c>
      <c r="AZ96" s="116"/>
      <c r="BA96" s="120">
        <f t="shared" si="235"/>
        <v>0</v>
      </c>
      <c r="BB96" s="70">
        <f>SUM(BB97:BB112)</f>
        <v>0</v>
      </c>
      <c r="BD96" s="116"/>
      <c r="BE96" s="120">
        <f t="shared" si="238"/>
        <v>0</v>
      </c>
      <c r="BF96" s="70">
        <f>SUM(BF97:BF112)</f>
        <v>0</v>
      </c>
      <c r="BG96" s="134"/>
      <c r="BH96" s="120">
        <f t="shared" si="241"/>
        <v>0.12550962038743482</v>
      </c>
      <c r="BI96" s="70">
        <f>SUM(BI97:BI112)</f>
        <v>403652.69</v>
      </c>
      <c r="BJ96" s="117"/>
      <c r="BL96" s="92"/>
    </row>
    <row r="97" spans="1:64" ht="89.25" x14ac:dyDescent="0.25">
      <c r="A97" s="100" t="str">
        <f>'01 - Orçamento Sintético'!A97</f>
        <v xml:space="preserve"> 3.2.4.1 </v>
      </c>
      <c r="B97" s="101" t="str">
        <f>'01 - Orçamento Sintético'!B97</f>
        <v xml:space="preserve"> 92268 </v>
      </c>
      <c r="C97" s="100" t="str">
        <f>'01 - Orçamento Sintético'!C97</f>
        <v>SINAPI</v>
      </c>
      <c r="D97" s="100" t="str">
        <f>'01 - Orçamento Sintético'!D97</f>
        <v>FABRICAÇÃO DE FÔRMA PARA LAJES, EM CHAPA DE MADEIRA COMPENSADA PLASTIFICADA, E = 18 MM. AF_09/2020</v>
      </c>
      <c r="E97" s="94" t="str">
        <f>'01 - Orçamento Sintético'!E97</f>
        <v>m²</v>
      </c>
      <c r="F97" s="94">
        <f>'01 - Orçamento Sintético'!F97</f>
        <v>5.85</v>
      </c>
      <c r="G97" s="68">
        <f>INDEX('01 - Orçamento Sintético'!$A$6:$AB$125,MATCH('02 - Planilha de Medição'!$A97,'01 - Orçamento Sintético'!$A$6:$A$125,0),23)</f>
        <v>1.1399999999999999</v>
      </c>
      <c r="H97" s="68">
        <f>INDEX('01 - Orçamento Sintético'!$A$6:$AB$125,MATCH('02 - Planilha de Medição'!$A97,'01 - Orçamento Sintético'!$A$6:$A$125,0),24)</f>
        <v>95.22</v>
      </c>
      <c r="I97" s="68">
        <f>INDEX('01 - Orçamento Sintético'!$A$6:$AB$125,MATCH('02 - Planilha de Medição'!$A97,'01 - Orçamento Sintético'!$A$6:$A$125,0),25)</f>
        <v>96.36</v>
      </c>
      <c r="J97" s="68">
        <f>INDEX('01 - Orçamento Sintético'!$A$6:$AB$125,MATCH('02 - Planilha de Medição'!$A97,'01 - Orçamento Sintético'!$A$6:$A$125,0),26)</f>
        <v>6.66</v>
      </c>
      <c r="K97" s="68">
        <f>INDEX('01 - Orçamento Sintético'!$A$6:$AB$125,MATCH('02 - Planilha de Medição'!$A97,'01 - Orçamento Sintético'!$A$6:$A$125,0),27)</f>
        <v>557.04000000000008</v>
      </c>
      <c r="L97" s="68">
        <f>INDEX('01 - Orçamento Sintético'!$A$6:$AB$125,MATCH('02 - Planilha de Medição'!$A97,'01 - Orçamento Sintético'!$A$6:$A$125,0),28)</f>
        <v>563.70000000000005</v>
      </c>
      <c r="N97" s="115">
        <f>F97</f>
        <v>5.85</v>
      </c>
      <c r="O97" s="67">
        <f t="shared" si="243"/>
        <v>1.7527387966223394E-4</v>
      </c>
      <c r="P97" s="68">
        <f t="shared" ref="P97:P107" si="294">TRUNC(N97*$I97,2)</f>
        <v>563.70000000000005</v>
      </c>
      <c r="Q97" s="115"/>
      <c r="R97" s="67">
        <f t="shared" si="214"/>
        <v>0</v>
      </c>
      <c r="S97" s="68">
        <f t="shared" ref="S97:S107" si="295">TRUNC(Q97*$I97,2)</f>
        <v>0</v>
      </c>
      <c r="U97" s="115"/>
      <c r="V97" s="67">
        <f t="shared" si="216"/>
        <v>0</v>
      </c>
      <c r="W97" s="68">
        <f t="shared" ref="W97:W112" si="296">TRUNC(U97*$I97,2)</f>
        <v>0</v>
      </c>
      <c r="X97" s="115"/>
      <c r="Y97" s="67">
        <f t="shared" si="218"/>
        <v>0</v>
      </c>
      <c r="Z97" s="68">
        <f t="shared" ref="Z97:Z112" si="297">TRUNC(X97*$I97,2)</f>
        <v>0</v>
      </c>
      <c r="AB97" s="115"/>
      <c r="AC97" s="67">
        <f t="shared" si="220"/>
        <v>0</v>
      </c>
      <c r="AD97" s="68">
        <f t="shared" ref="AD97:AD112" si="298">TRUNC(AB97*$I97,2)</f>
        <v>0</v>
      </c>
      <c r="AE97" s="115"/>
      <c r="AF97" s="67">
        <f t="shared" si="222"/>
        <v>0</v>
      </c>
      <c r="AG97" s="68">
        <f t="shared" ref="AG97:AG112" si="299">TRUNC(AE97*$I97,2)</f>
        <v>0</v>
      </c>
      <c r="AI97" s="115"/>
      <c r="AJ97" s="67">
        <f t="shared" si="224"/>
        <v>0</v>
      </c>
      <c r="AK97" s="68">
        <f t="shared" ref="AK97:AK112" si="300">TRUNC(AI97*$I97,2)</f>
        <v>0</v>
      </c>
      <c r="AL97" s="115"/>
      <c r="AM97" s="67">
        <f t="shared" si="226"/>
        <v>0</v>
      </c>
      <c r="AN97" s="68">
        <f t="shared" ref="AN97:AN112" si="301">TRUNC(AL97*$I97,2)</f>
        <v>0</v>
      </c>
      <c r="AP97" s="115"/>
      <c r="AQ97" s="67">
        <f t="shared" si="229"/>
        <v>0</v>
      </c>
      <c r="AR97" s="68">
        <f t="shared" ref="AR97:AR112" si="302">TRUNC(AP97*$I97,2)</f>
        <v>0</v>
      </c>
      <c r="AS97" s="115"/>
      <c r="AT97" s="67">
        <f t="shared" si="231"/>
        <v>0</v>
      </c>
      <c r="AU97" s="68">
        <f t="shared" ref="AU97:AU112" si="303">TRUNC(AS97*$I97,2)</f>
        <v>0</v>
      </c>
      <c r="AW97" s="115"/>
      <c r="AX97" s="67">
        <f t="shared" si="233"/>
        <v>0</v>
      </c>
      <c r="AY97" s="68">
        <f t="shared" ref="AY97:AY112" si="304">TRUNC(AW97*$I97,2)</f>
        <v>0</v>
      </c>
      <c r="AZ97" s="115"/>
      <c r="BA97" s="67">
        <f t="shared" si="235"/>
        <v>0</v>
      </c>
      <c r="BB97" s="68">
        <f t="shared" ref="BB97:BB112" si="305">TRUNC(AZ97*$I97,2)</f>
        <v>0</v>
      </c>
      <c r="BD97" s="115">
        <f t="shared" ref="BD97:BD107" si="306">SUM(Q97,X97,AE97,AL97,AS97,AZ97)</f>
        <v>0</v>
      </c>
      <c r="BE97" s="67">
        <f t="shared" si="238"/>
        <v>0</v>
      </c>
      <c r="BF97" s="68">
        <f t="shared" ref="BF97:BF107" si="307">TRUNC(BD97*$I97,2)</f>
        <v>0</v>
      </c>
      <c r="BG97" s="133">
        <f t="shared" ref="BG97:BG107" si="308">$F97-BD97</f>
        <v>5.85</v>
      </c>
      <c r="BH97" s="67">
        <f t="shared" si="241"/>
        <v>1.7527387966223394E-4</v>
      </c>
      <c r="BI97" s="68">
        <f t="shared" ref="BI97:BI107" si="309">TRUNC(BG97*$I97,2)</f>
        <v>563.70000000000005</v>
      </c>
      <c r="BJ97" s="117"/>
      <c r="BL97" s="92"/>
    </row>
    <row r="98" spans="1:64" ht="76.5" x14ac:dyDescent="0.25">
      <c r="A98" s="100" t="str">
        <f>'01 - Orçamento Sintético'!A98</f>
        <v xml:space="preserve"> 3.2.4.2 </v>
      </c>
      <c r="B98" s="101" t="str">
        <f>'01 - Orçamento Sintético'!B98</f>
        <v xml:space="preserve"> 103915 </v>
      </c>
      <c r="C98" s="100" t="str">
        <f>'01 - Orçamento Sintético'!C98</f>
        <v>SINAPI</v>
      </c>
      <c r="D98" s="100" t="str">
        <f>'01 - Orçamento Sintético'!D98</f>
        <v>EXECUÇÃO DE PISO INDUSTRIAL DE CONCRETO ARMADO, FCK = 20 MPA, ESPESSURA DE 15,0 CM. AF_04/2022</v>
      </c>
      <c r="E98" s="94" t="str">
        <f>'01 - Orçamento Sintético'!E98</f>
        <v>m²</v>
      </c>
      <c r="F98" s="94">
        <f>'01 - Orçamento Sintético'!F98</f>
        <v>1047</v>
      </c>
      <c r="G98" s="68">
        <f>INDEX('01 - Orçamento Sintético'!$A$6:$AB$125,MATCH('02 - Planilha de Medição'!$A98,'01 - Orçamento Sintético'!$A$6:$A$125,0),23)</f>
        <v>17.559999999999999</v>
      </c>
      <c r="H98" s="68">
        <f>INDEX('01 - Orçamento Sintético'!$A$6:$AB$125,MATCH('02 - Planilha de Medição'!$A98,'01 - Orçamento Sintético'!$A$6:$A$125,0),24)</f>
        <v>168.85999999999999</v>
      </c>
      <c r="I98" s="68">
        <f>INDEX('01 - Orçamento Sintético'!$A$6:$AB$125,MATCH('02 - Planilha de Medição'!$A98,'01 - Orçamento Sintético'!$A$6:$A$125,0),25)</f>
        <v>186.42</v>
      </c>
      <c r="J98" s="68">
        <f>INDEX('01 - Orçamento Sintético'!$A$6:$AB$125,MATCH('02 - Planilha de Medição'!$A98,'01 - Orçamento Sintético'!$A$6:$A$125,0),26)</f>
        <v>18385.32</v>
      </c>
      <c r="K98" s="68">
        <f>INDEX('01 - Orçamento Sintético'!$A$6:$AB$125,MATCH('02 - Planilha de Medição'!$A98,'01 - Orçamento Sintético'!$A$6:$A$125,0),27)</f>
        <v>176796.41999999998</v>
      </c>
      <c r="L98" s="68">
        <f>INDEX('01 - Orçamento Sintético'!$A$6:$AB$125,MATCH('02 - Planilha de Medição'!$A98,'01 - Orçamento Sintético'!$A$6:$A$125,0),28)</f>
        <v>195181.74</v>
      </c>
      <c r="N98" s="115">
        <f>$F98/2</f>
        <v>523.5</v>
      </c>
      <c r="O98" s="67">
        <f t="shared" si="243"/>
        <v>3.0344386028938644E-2</v>
      </c>
      <c r="P98" s="68">
        <f t="shared" si="294"/>
        <v>97590.87</v>
      </c>
      <c r="Q98" s="115"/>
      <c r="R98" s="67">
        <f t="shared" si="214"/>
        <v>0</v>
      </c>
      <c r="S98" s="68">
        <f t="shared" si="295"/>
        <v>0</v>
      </c>
      <c r="U98" s="115">
        <f>$F98/2</f>
        <v>523.5</v>
      </c>
      <c r="V98" s="67">
        <f t="shared" si="216"/>
        <v>3.0344386028938644E-2</v>
      </c>
      <c r="W98" s="68">
        <f t="shared" si="296"/>
        <v>97590.87</v>
      </c>
      <c r="X98" s="115"/>
      <c r="Y98" s="67">
        <f t="shared" si="218"/>
        <v>0</v>
      </c>
      <c r="Z98" s="68">
        <f t="shared" si="297"/>
        <v>0</v>
      </c>
      <c r="AB98" s="115"/>
      <c r="AC98" s="67">
        <f t="shared" si="220"/>
        <v>0</v>
      </c>
      <c r="AD98" s="68">
        <f t="shared" si="298"/>
        <v>0</v>
      </c>
      <c r="AE98" s="115"/>
      <c r="AF98" s="67">
        <f t="shared" si="222"/>
        <v>0</v>
      </c>
      <c r="AG98" s="68">
        <f t="shared" si="299"/>
        <v>0</v>
      </c>
      <c r="AI98" s="115"/>
      <c r="AJ98" s="67">
        <f t="shared" si="224"/>
        <v>0</v>
      </c>
      <c r="AK98" s="68">
        <f t="shared" si="300"/>
        <v>0</v>
      </c>
      <c r="AL98" s="115"/>
      <c r="AM98" s="67">
        <f t="shared" si="226"/>
        <v>0</v>
      </c>
      <c r="AN98" s="68">
        <f t="shared" si="301"/>
        <v>0</v>
      </c>
      <c r="AP98" s="115"/>
      <c r="AQ98" s="67">
        <f t="shared" si="229"/>
        <v>0</v>
      </c>
      <c r="AR98" s="68">
        <f t="shared" si="302"/>
        <v>0</v>
      </c>
      <c r="AS98" s="115"/>
      <c r="AT98" s="67">
        <f t="shared" si="231"/>
        <v>0</v>
      </c>
      <c r="AU98" s="68">
        <f t="shared" si="303"/>
        <v>0</v>
      </c>
      <c r="AW98" s="115"/>
      <c r="AX98" s="67">
        <f t="shared" si="233"/>
        <v>0</v>
      </c>
      <c r="AY98" s="68">
        <f t="shared" si="304"/>
        <v>0</v>
      </c>
      <c r="AZ98" s="115"/>
      <c r="BA98" s="67">
        <f t="shared" si="235"/>
        <v>0</v>
      </c>
      <c r="BB98" s="68">
        <f t="shared" si="305"/>
        <v>0</v>
      </c>
      <c r="BD98" s="115">
        <f t="shared" si="306"/>
        <v>0</v>
      </c>
      <c r="BE98" s="67">
        <f t="shared" si="238"/>
        <v>0</v>
      </c>
      <c r="BF98" s="68">
        <f t="shared" si="307"/>
        <v>0</v>
      </c>
      <c r="BG98" s="133">
        <f t="shared" si="308"/>
        <v>1047</v>
      </c>
      <c r="BH98" s="67">
        <f t="shared" si="241"/>
        <v>6.0688772057877288E-2</v>
      </c>
      <c r="BI98" s="68">
        <f t="shared" si="309"/>
        <v>195181.74</v>
      </c>
      <c r="BJ98" s="117"/>
      <c r="BL98" s="92"/>
    </row>
    <row r="99" spans="1:64" ht="38.25" x14ac:dyDescent="0.25">
      <c r="A99" s="100" t="str">
        <f>'01 - Orçamento Sintético'!A99</f>
        <v xml:space="preserve"> 3.2.4.3 </v>
      </c>
      <c r="B99" s="101" t="str">
        <f>'01 - Orçamento Sintético'!B99</f>
        <v xml:space="preserve"> 92802 </v>
      </c>
      <c r="C99" s="100" t="str">
        <f>'01 - Orçamento Sintético'!C99</f>
        <v>SINAPI</v>
      </c>
      <c r="D99" s="100" t="str">
        <f>'01 - Orçamento Sintético'!D99</f>
        <v>CORTE E DOBRA DE AÇO CA-50, DIÂMETRO DE 8,0 MM. AF_06/2022</v>
      </c>
      <c r="E99" s="94" t="str">
        <f>'01 - Orçamento Sintético'!E99</f>
        <v>KG</v>
      </c>
      <c r="F99" s="94">
        <f>'01 - Orçamento Sintético'!F99</f>
        <v>99.54</v>
      </c>
      <c r="G99" s="68">
        <f>INDEX('01 - Orçamento Sintético'!$A$6:$AB$125,MATCH('02 - Planilha de Medição'!$A99,'01 - Orçamento Sintético'!$A$6:$A$125,0),23)</f>
        <v>0.59</v>
      </c>
      <c r="H99" s="68">
        <f>INDEX('01 - Orçamento Sintético'!$A$6:$AB$125,MATCH('02 - Planilha de Medição'!$A99,'01 - Orçamento Sintético'!$A$6:$A$125,0),24)</f>
        <v>11.57</v>
      </c>
      <c r="I99" s="68">
        <f>INDEX('01 - Orçamento Sintético'!$A$6:$AB$125,MATCH('02 - Planilha de Medição'!$A99,'01 - Orçamento Sintético'!$A$6:$A$125,0),25)</f>
        <v>12.16</v>
      </c>
      <c r="J99" s="68">
        <f>INDEX('01 - Orçamento Sintético'!$A$6:$AB$125,MATCH('02 - Planilha de Medição'!$A99,'01 - Orçamento Sintético'!$A$6:$A$125,0),26)</f>
        <v>58.72</v>
      </c>
      <c r="K99" s="68">
        <f>INDEX('01 - Orçamento Sintético'!$A$6:$AB$125,MATCH('02 - Planilha de Medição'!$A99,'01 - Orçamento Sintético'!$A$6:$A$125,0),27)</f>
        <v>1151.68</v>
      </c>
      <c r="L99" s="68">
        <f>INDEX('01 - Orçamento Sintético'!$A$6:$AB$125,MATCH('02 - Planilha de Medição'!$A99,'01 - Orçamento Sintético'!$A$6:$A$125,0),28)</f>
        <v>1210.4000000000001</v>
      </c>
      <c r="N99" s="115">
        <f t="shared" ref="N99:N101" si="310">$F99/2</f>
        <v>49.77</v>
      </c>
      <c r="O99" s="67">
        <f t="shared" si="243"/>
        <v>1.8817766892244807E-4</v>
      </c>
      <c r="P99" s="68">
        <f t="shared" si="294"/>
        <v>605.20000000000005</v>
      </c>
      <c r="Q99" s="115"/>
      <c r="R99" s="67">
        <f t="shared" si="214"/>
        <v>0</v>
      </c>
      <c r="S99" s="68">
        <f t="shared" si="295"/>
        <v>0</v>
      </c>
      <c r="U99" s="115">
        <f t="shared" ref="U99:U101" si="311">$F99/2</f>
        <v>49.77</v>
      </c>
      <c r="V99" s="67">
        <f t="shared" si="216"/>
        <v>1.8817766892244807E-4</v>
      </c>
      <c r="W99" s="68">
        <f t="shared" si="296"/>
        <v>605.20000000000005</v>
      </c>
      <c r="X99" s="115"/>
      <c r="Y99" s="67">
        <f t="shared" si="218"/>
        <v>0</v>
      </c>
      <c r="Z99" s="68">
        <f t="shared" si="297"/>
        <v>0</v>
      </c>
      <c r="AB99" s="115"/>
      <c r="AC99" s="67">
        <f t="shared" si="220"/>
        <v>0</v>
      </c>
      <c r="AD99" s="68">
        <f t="shared" si="298"/>
        <v>0</v>
      </c>
      <c r="AE99" s="115"/>
      <c r="AF99" s="67">
        <f t="shared" si="222"/>
        <v>0</v>
      </c>
      <c r="AG99" s="68">
        <f t="shared" si="299"/>
        <v>0</v>
      </c>
      <c r="AI99" s="115"/>
      <c r="AJ99" s="67">
        <f t="shared" si="224"/>
        <v>0</v>
      </c>
      <c r="AK99" s="68">
        <f t="shared" si="300"/>
        <v>0</v>
      </c>
      <c r="AL99" s="115"/>
      <c r="AM99" s="67">
        <f t="shared" si="226"/>
        <v>0</v>
      </c>
      <c r="AN99" s="68">
        <f t="shared" si="301"/>
        <v>0</v>
      </c>
      <c r="AP99" s="115"/>
      <c r="AQ99" s="67">
        <f t="shared" si="229"/>
        <v>0</v>
      </c>
      <c r="AR99" s="68">
        <f t="shared" si="302"/>
        <v>0</v>
      </c>
      <c r="AS99" s="115"/>
      <c r="AT99" s="67">
        <f t="shared" si="231"/>
        <v>0</v>
      </c>
      <c r="AU99" s="68">
        <f t="shared" si="303"/>
        <v>0</v>
      </c>
      <c r="AW99" s="115"/>
      <c r="AX99" s="67">
        <f t="shared" si="233"/>
        <v>0</v>
      </c>
      <c r="AY99" s="68">
        <f t="shared" si="304"/>
        <v>0</v>
      </c>
      <c r="AZ99" s="115"/>
      <c r="BA99" s="67">
        <f t="shared" si="235"/>
        <v>0</v>
      </c>
      <c r="BB99" s="68">
        <f t="shared" si="305"/>
        <v>0</v>
      </c>
      <c r="BD99" s="115">
        <f t="shared" si="306"/>
        <v>0</v>
      </c>
      <c r="BE99" s="67">
        <f t="shared" si="238"/>
        <v>0</v>
      </c>
      <c r="BF99" s="68">
        <f t="shared" si="307"/>
        <v>0</v>
      </c>
      <c r="BG99" s="133">
        <f t="shared" si="308"/>
        <v>99.54</v>
      </c>
      <c r="BH99" s="67">
        <f t="shared" si="241"/>
        <v>3.7635533784489614E-4</v>
      </c>
      <c r="BI99" s="68">
        <f t="shared" si="309"/>
        <v>1210.4000000000001</v>
      </c>
      <c r="BJ99" s="117"/>
      <c r="BL99" s="92"/>
    </row>
    <row r="100" spans="1:64" ht="51" x14ac:dyDescent="0.25">
      <c r="A100" s="100" t="str">
        <f>'01 - Orçamento Sintético'!A100</f>
        <v xml:space="preserve"> 3.2.4.4 </v>
      </c>
      <c r="B100" s="101" t="str">
        <f>'01 - Orçamento Sintético'!B100</f>
        <v xml:space="preserve"> 92803 </v>
      </c>
      <c r="C100" s="100" t="str">
        <f>'01 - Orçamento Sintético'!C100</f>
        <v>SINAPI</v>
      </c>
      <c r="D100" s="100" t="str">
        <f>'01 - Orçamento Sintético'!D100</f>
        <v>CORTE E DOBRA DE AÇO CA-50, DIÂMETRO DE 10,0 MM. AF_06/2022</v>
      </c>
      <c r="E100" s="94" t="str">
        <f>'01 - Orçamento Sintético'!E100</f>
        <v>KG</v>
      </c>
      <c r="F100" s="94">
        <f>'01 - Orçamento Sintético'!F100</f>
        <v>207.2</v>
      </c>
      <c r="G100" s="68">
        <f>INDEX('01 - Orçamento Sintético'!$A$6:$AB$125,MATCH('02 - Planilha de Medição'!$A100,'01 - Orçamento Sintético'!$A$6:$A$125,0),23)</f>
        <v>0.31</v>
      </c>
      <c r="H100" s="68">
        <f>INDEX('01 - Orçamento Sintético'!$A$6:$AB$125,MATCH('02 - Planilha de Medição'!$A100,'01 - Orçamento Sintético'!$A$6:$A$125,0),24)</f>
        <v>10.84</v>
      </c>
      <c r="I100" s="68">
        <f>INDEX('01 - Orçamento Sintético'!$A$6:$AB$125,MATCH('02 - Planilha de Medição'!$A100,'01 - Orçamento Sintético'!$A$6:$A$125,0),25)</f>
        <v>11.15</v>
      </c>
      <c r="J100" s="68">
        <f>INDEX('01 - Orçamento Sintético'!$A$6:$AB$125,MATCH('02 - Planilha de Medição'!$A100,'01 - Orçamento Sintético'!$A$6:$A$125,0),26)</f>
        <v>64.23</v>
      </c>
      <c r="K100" s="68">
        <f>INDEX('01 - Orçamento Sintético'!$A$6:$AB$125,MATCH('02 - Planilha de Medição'!$A100,'01 - Orçamento Sintético'!$A$6:$A$125,0),27)</f>
        <v>2246.0500000000002</v>
      </c>
      <c r="L100" s="68">
        <f>INDEX('01 - Orçamento Sintético'!$A$6:$AB$125,MATCH('02 - Planilha de Medição'!$A100,'01 - Orçamento Sintético'!$A$6:$A$125,0),28)</f>
        <v>2310.2800000000002</v>
      </c>
      <c r="N100" s="115">
        <f t="shared" si="310"/>
        <v>103.6</v>
      </c>
      <c r="O100" s="67">
        <f t="shared" si="243"/>
        <v>3.5917308737454836E-4</v>
      </c>
      <c r="P100" s="68">
        <f t="shared" si="294"/>
        <v>1155.1400000000001</v>
      </c>
      <c r="Q100" s="115"/>
      <c r="R100" s="67">
        <f t="shared" si="214"/>
        <v>0</v>
      </c>
      <c r="S100" s="68">
        <f t="shared" si="295"/>
        <v>0</v>
      </c>
      <c r="U100" s="115">
        <f t="shared" si="311"/>
        <v>103.6</v>
      </c>
      <c r="V100" s="67">
        <f t="shared" si="216"/>
        <v>3.5917308737454836E-4</v>
      </c>
      <c r="W100" s="68">
        <f t="shared" si="296"/>
        <v>1155.1400000000001</v>
      </c>
      <c r="X100" s="115"/>
      <c r="Y100" s="67">
        <f t="shared" si="218"/>
        <v>0</v>
      </c>
      <c r="Z100" s="68">
        <f t="shared" si="297"/>
        <v>0</v>
      </c>
      <c r="AB100" s="115"/>
      <c r="AC100" s="67">
        <f t="shared" si="220"/>
        <v>0</v>
      </c>
      <c r="AD100" s="68">
        <f t="shared" si="298"/>
        <v>0</v>
      </c>
      <c r="AE100" s="115"/>
      <c r="AF100" s="67">
        <f t="shared" si="222"/>
        <v>0</v>
      </c>
      <c r="AG100" s="68">
        <f t="shared" si="299"/>
        <v>0</v>
      </c>
      <c r="AI100" s="115"/>
      <c r="AJ100" s="67">
        <f t="shared" si="224"/>
        <v>0</v>
      </c>
      <c r="AK100" s="68">
        <f t="shared" si="300"/>
        <v>0</v>
      </c>
      <c r="AL100" s="115"/>
      <c r="AM100" s="67">
        <f t="shared" si="226"/>
        <v>0</v>
      </c>
      <c r="AN100" s="68">
        <f t="shared" si="301"/>
        <v>0</v>
      </c>
      <c r="AP100" s="115"/>
      <c r="AQ100" s="67">
        <f t="shared" si="229"/>
        <v>0</v>
      </c>
      <c r="AR100" s="68">
        <f t="shared" si="302"/>
        <v>0</v>
      </c>
      <c r="AS100" s="115"/>
      <c r="AT100" s="67">
        <f t="shared" si="231"/>
        <v>0</v>
      </c>
      <c r="AU100" s="68">
        <f t="shared" si="303"/>
        <v>0</v>
      </c>
      <c r="AW100" s="115"/>
      <c r="AX100" s="67">
        <f t="shared" si="233"/>
        <v>0</v>
      </c>
      <c r="AY100" s="68">
        <f t="shared" si="304"/>
        <v>0</v>
      </c>
      <c r="AZ100" s="115"/>
      <c r="BA100" s="67">
        <f t="shared" si="235"/>
        <v>0</v>
      </c>
      <c r="BB100" s="68">
        <f t="shared" si="305"/>
        <v>0</v>
      </c>
      <c r="BD100" s="115">
        <f t="shared" si="306"/>
        <v>0</v>
      </c>
      <c r="BE100" s="67">
        <f t="shared" si="238"/>
        <v>0</v>
      </c>
      <c r="BF100" s="68">
        <f t="shared" si="307"/>
        <v>0</v>
      </c>
      <c r="BG100" s="133">
        <f t="shared" si="308"/>
        <v>207.2</v>
      </c>
      <c r="BH100" s="67">
        <f t="shared" si="241"/>
        <v>7.1834617474909673E-4</v>
      </c>
      <c r="BI100" s="68">
        <f t="shared" si="309"/>
        <v>2310.2800000000002</v>
      </c>
      <c r="BJ100" s="117"/>
      <c r="BL100" s="92"/>
    </row>
    <row r="101" spans="1:64" ht="114.75" x14ac:dyDescent="0.25">
      <c r="A101" s="100" t="str">
        <f>'01 - Orçamento Sintético'!A101</f>
        <v xml:space="preserve"> 3.2.4.5 </v>
      </c>
      <c r="B101" s="101" t="str">
        <f>'01 - Orçamento Sintético'!B101</f>
        <v xml:space="preserve"> 94966 </v>
      </c>
      <c r="C101" s="100" t="str">
        <f>'01 - Orçamento Sintético'!C101</f>
        <v>SINAPI</v>
      </c>
      <c r="D101" s="100" t="str">
        <f>'01 - Orçamento Sintético'!D101</f>
        <v>CONCRETO FCK = 30MPA, TRAÇO 1:2,1:2,5 (EM MASSA SECA DE CIMENTO/ AREIA MÉDIA/ BRITA 1) - PREPARO MECÂNICO COM BETONEIRA 400 L. AF_05/2021</v>
      </c>
      <c r="E101" s="94" t="str">
        <f>'01 - Orçamento Sintético'!E101</f>
        <v>m³</v>
      </c>
      <c r="F101" s="94">
        <f>'01 - Orçamento Sintético'!F101</f>
        <v>0.48</v>
      </c>
      <c r="G101" s="68">
        <f>INDEX('01 - Orçamento Sintético'!$A$6:$AB$125,MATCH('02 - Planilha de Medição'!$A101,'01 - Orçamento Sintético'!$A$6:$A$125,0),23)</f>
        <v>97.58</v>
      </c>
      <c r="H101" s="68">
        <f>INDEX('01 - Orçamento Sintético'!$A$6:$AB$125,MATCH('02 - Planilha de Medição'!$A101,'01 - Orçamento Sintético'!$A$6:$A$125,0),24)</f>
        <v>521.70999999999992</v>
      </c>
      <c r="I101" s="68">
        <f>INDEX('01 - Orçamento Sintético'!$A$6:$AB$125,MATCH('02 - Planilha de Medição'!$A101,'01 - Orçamento Sintético'!$A$6:$A$125,0),25)</f>
        <v>619.29</v>
      </c>
      <c r="J101" s="68">
        <f>INDEX('01 - Orçamento Sintético'!$A$6:$AB$125,MATCH('02 - Planilha de Medição'!$A101,'01 - Orçamento Sintético'!$A$6:$A$125,0),26)</f>
        <v>46.83</v>
      </c>
      <c r="K101" s="68">
        <f>INDEX('01 - Orçamento Sintético'!$A$6:$AB$125,MATCH('02 - Planilha de Medição'!$A101,'01 - Orçamento Sintético'!$A$6:$A$125,0),27)</f>
        <v>250.42000000000002</v>
      </c>
      <c r="L101" s="68">
        <f>INDEX('01 - Orçamento Sintético'!$A$6:$AB$125,MATCH('02 - Planilha de Medição'!$A101,'01 - Orçamento Sintético'!$A$6:$A$125,0),28)</f>
        <v>297.25</v>
      </c>
      <c r="N101" s="115">
        <f t="shared" si="310"/>
        <v>0.24</v>
      </c>
      <c r="O101" s="67">
        <f t="shared" si="243"/>
        <v>4.6211112285615053E-5</v>
      </c>
      <c r="P101" s="68">
        <f t="shared" si="294"/>
        <v>148.62</v>
      </c>
      <c r="Q101" s="115"/>
      <c r="R101" s="67">
        <f t="shared" si="214"/>
        <v>0</v>
      </c>
      <c r="S101" s="68">
        <f t="shared" si="295"/>
        <v>0</v>
      </c>
      <c r="U101" s="115">
        <f>F101-N101</f>
        <v>0.24</v>
      </c>
      <c r="V101" s="67">
        <f t="shared" si="216"/>
        <v>4.6214221632424742E-5</v>
      </c>
      <c r="W101" s="68">
        <f>L101-P101</f>
        <v>148.63</v>
      </c>
      <c r="X101" s="115"/>
      <c r="Y101" s="67">
        <f t="shared" si="218"/>
        <v>0</v>
      </c>
      <c r="Z101" s="68">
        <f t="shared" si="297"/>
        <v>0</v>
      </c>
      <c r="AB101" s="115"/>
      <c r="AC101" s="67">
        <f t="shared" si="220"/>
        <v>0</v>
      </c>
      <c r="AD101" s="68">
        <f t="shared" si="298"/>
        <v>0</v>
      </c>
      <c r="AE101" s="115"/>
      <c r="AF101" s="67">
        <f t="shared" si="222"/>
        <v>0</v>
      </c>
      <c r="AG101" s="68">
        <f t="shared" si="299"/>
        <v>0</v>
      </c>
      <c r="AI101" s="115"/>
      <c r="AJ101" s="67">
        <f t="shared" si="224"/>
        <v>0</v>
      </c>
      <c r="AK101" s="68">
        <f t="shared" si="300"/>
        <v>0</v>
      </c>
      <c r="AL101" s="115"/>
      <c r="AM101" s="67">
        <f t="shared" si="226"/>
        <v>0</v>
      </c>
      <c r="AN101" s="68">
        <f t="shared" si="301"/>
        <v>0</v>
      </c>
      <c r="AP101" s="115"/>
      <c r="AQ101" s="67">
        <f t="shared" si="229"/>
        <v>0</v>
      </c>
      <c r="AR101" s="68">
        <f t="shared" si="302"/>
        <v>0</v>
      </c>
      <c r="AS101" s="115"/>
      <c r="AT101" s="67">
        <f t="shared" si="231"/>
        <v>0</v>
      </c>
      <c r="AU101" s="68">
        <f t="shared" si="303"/>
        <v>0</v>
      </c>
      <c r="AW101" s="115"/>
      <c r="AX101" s="67">
        <f t="shared" si="233"/>
        <v>0</v>
      </c>
      <c r="AY101" s="68">
        <f t="shared" si="304"/>
        <v>0</v>
      </c>
      <c r="AZ101" s="115"/>
      <c r="BA101" s="67">
        <f t="shared" si="235"/>
        <v>0</v>
      </c>
      <c r="BB101" s="68">
        <f t="shared" si="305"/>
        <v>0</v>
      </c>
      <c r="BD101" s="115">
        <f t="shared" si="306"/>
        <v>0</v>
      </c>
      <c r="BE101" s="67">
        <f t="shared" si="238"/>
        <v>0</v>
      </c>
      <c r="BF101" s="68">
        <f t="shared" si="307"/>
        <v>0</v>
      </c>
      <c r="BG101" s="133">
        <f t="shared" si="308"/>
        <v>0.48</v>
      </c>
      <c r="BH101" s="67">
        <f t="shared" si="241"/>
        <v>9.2425333918039795E-5</v>
      </c>
      <c r="BI101" s="68">
        <f t="shared" si="309"/>
        <v>297.25</v>
      </c>
      <c r="BJ101" s="117"/>
      <c r="BL101" s="92"/>
    </row>
    <row r="102" spans="1:64" ht="38.25" x14ac:dyDescent="0.25">
      <c r="A102" s="100" t="str">
        <f>'01 - Orçamento Sintético'!A102</f>
        <v xml:space="preserve"> 3.2.4.6 </v>
      </c>
      <c r="B102" s="101" t="str">
        <f>'01 - Orçamento Sintético'!B102</f>
        <v xml:space="preserve"> 071360 </v>
      </c>
      <c r="C102" s="100" t="str">
        <f>'01 - Orçamento Sintético'!C102</f>
        <v>SEDOP</v>
      </c>
      <c r="D102" s="100" t="str">
        <f>'01 - Orçamento Sintético'!D102</f>
        <v>Estrutura metálica p/ cobertura - (Incl. pintura anti-corrosiva)</v>
      </c>
      <c r="E102" s="94" t="str">
        <f>'01 - Orçamento Sintético'!E102</f>
        <v>kg</v>
      </c>
      <c r="F102" s="94">
        <f>'01 - Orçamento Sintético'!F102</f>
        <v>2146.9609999999998</v>
      </c>
      <c r="G102" s="68">
        <f>INDEX('01 - Orçamento Sintético'!$A$6:$AB$125,MATCH('02 - Planilha de Medição'!$A102,'01 - Orçamento Sintético'!$A$6:$A$125,0),23)</f>
        <v>14.9</v>
      </c>
      <c r="H102" s="68">
        <f>INDEX('01 - Orçamento Sintético'!$A$6:$AB$125,MATCH('02 - Planilha de Medição'!$A102,'01 - Orçamento Sintético'!$A$6:$A$125,0),24)</f>
        <v>17.829999999999998</v>
      </c>
      <c r="I102" s="68">
        <f>INDEX('01 - Orçamento Sintético'!$A$6:$AB$125,MATCH('02 - Planilha de Medição'!$A102,'01 - Orçamento Sintético'!$A$6:$A$125,0),25)</f>
        <v>32.729999999999997</v>
      </c>
      <c r="J102" s="68">
        <f>INDEX('01 - Orçamento Sintético'!$A$6:$AB$125,MATCH('02 - Planilha de Medição'!$A102,'01 - Orçamento Sintético'!$A$6:$A$125,0),26)</f>
        <v>31989.71</v>
      </c>
      <c r="K102" s="68">
        <f>INDEX('01 - Orçamento Sintético'!$A$6:$AB$125,MATCH('02 - Planilha de Medição'!$A102,'01 - Orçamento Sintético'!$A$6:$A$125,0),27)</f>
        <v>38280.32</v>
      </c>
      <c r="L102" s="68">
        <f>INDEX('01 - Orçamento Sintético'!$A$6:$AB$125,MATCH('02 - Planilha de Medição'!$A102,'01 - Orçamento Sintético'!$A$6:$A$125,0),28)</f>
        <v>70270.03</v>
      </c>
      <c r="N102" s="115">
        <f t="shared" ref="N98:N107" si="312">F102</f>
        <v>2146.9609999999998</v>
      </c>
      <c r="O102" s="67">
        <f t="shared" si="243"/>
        <v>2.1849389359733132E-2</v>
      </c>
      <c r="P102" s="68">
        <f t="shared" si="294"/>
        <v>70270.03</v>
      </c>
      <c r="Q102" s="115"/>
      <c r="R102" s="67">
        <f t="shared" si="214"/>
        <v>0</v>
      </c>
      <c r="S102" s="68">
        <f t="shared" si="295"/>
        <v>0</v>
      </c>
      <c r="U102" s="115"/>
      <c r="V102" s="67">
        <f t="shared" si="216"/>
        <v>0</v>
      </c>
      <c r="W102" s="68">
        <f t="shared" si="296"/>
        <v>0</v>
      </c>
      <c r="X102" s="115"/>
      <c r="Y102" s="67">
        <f t="shared" si="218"/>
        <v>0</v>
      </c>
      <c r="Z102" s="68">
        <f t="shared" si="297"/>
        <v>0</v>
      </c>
      <c r="AB102" s="115"/>
      <c r="AC102" s="67">
        <f t="shared" si="220"/>
        <v>0</v>
      </c>
      <c r="AD102" s="68">
        <f t="shared" si="298"/>
        <v>0</v>
      </c>
      <c r="AE102" s="115"/>
      <c r="AF102" s="67">
        <f t="shared" si="222"/>
        <v>0</v>
      </c>
      <c r="AG102" s="68">
        <f t="shared" si="299"/>
        <v>0</v>
      </c>
      <c r="AI102" s="115"/>
      <c r="AJ102" s="67">
        <f t="shared" si="224"/>
        <v>0</v>
      </c>
      <c r="AK102" s="68">
        <f t="shared" si="300"/>
        <v>0</v>
      </c>
      <c r="AL102" s="115"/>
      <c r="AM102" s="67">
        <f t="shared" si="226"/>
        <v>0</v>
      </c>
      <c r="AN102" s="68">
        <f t="shared" si="301"/>
        <v>0</v>
      </c>
      <c r="AP102" s="115"/>
      <c r="AQ102" s="67">
        <f t="shared" si="229"/>
        <v>0</v>
      </c>
      <c r="AR102" s="68">
        <f t="shared" si="302"/>
        <v>0</v>
      </c>
      <c r="AS102" s="115"/>
      <c r="AT102" s="67">
        <f t="shared" si="231"/>
        <v>0</v>
      </c>
      <c r="AU102" s="68">
        <f t="shared" si="303"/>
        <v>0</v>
      </c>
      <c r="AW102" s="115"/>
      <c r="AX102" s="67">
        <f t="shared" si="233"/>
        <v>0</v>
      </c>
      <c r="AY102" s="68">
        <f t="shared" si="304"/>
        <v>0</v>
      </c>
      <c r="AZ102" s="115"/>
      <c r="BA102" s="67">
        <f t="shared" si="235"/>
        <v>0</v>
      </c>
      <c r="BB102" s="68">
        <f t="shared" si="305"/>
        <v>0</v>
      </c>
      <c r="BD102" s="115">
        <f t="shared" si="306"/>
        <v>0</v>
      </c>
      <c r="BE102" s="67">
        <f t="shared" si="238"/>
        <v>0</v>
      </c>
      <c r="BF102" s="68">
        <f t="shared" si="307"/>
        <v>0</v>
      </c>
      <c r="BG102" s="133">
        <f t="shared" si="308"/>
        <v>2146.9609999999998</v>
      </c>
      <c r="BH102" s="67">
        <f t="shared" si="241"/>
        <v>2.1849389359733132E-2</v>
      </c>
      <c r="BI102" s="68">
        <f t="shared" si="309"/>
        <v>70270.03</v>
      </c>
      <c r="BJ102" s="117"/>
      <c r="BL102" s="92"/>
    </row>
    <row r="103" spans="1:64" ht="89.25" x14ac:dyDescent="0.25">
      <c r="A103" s="100" t="str">
        <f>'01 - Orçamento Sintético'!A103</f>
        <v xml:space="preserve"> 3.2.4.7 </v>
      </c>
      <c r="B103" s="101" t="str">
        <f>'01 - Orçamento Sintético'!B103</f>
        <v xml:space="preserve"> 11849 </v>
      </c>
      <c r="C103" s="100" t="str">
        <f>'01 - Orçamento Sintético'!C103</f>
        <v>ORSE</v>
      </c>
      <c r="D103" s="100" t="str">
        <f>'01 - Orçamento Sintético'!D103</f>
        <v>Pintura de proteção e/ou acabamento sobre superfícies metálicas com aplicaçãode 02 demãos de primer epoxi rico em zinco, e = 35 micra - R1</v>
      </c>
      <c r="E103" s="94" t="str">
        <f>'01 - Orçamento Sintético'!E103</f>
        <v>m²</v>
      </c>
      <c r="F103" s="94">
        <f>'01 - Orçamento Sintético'!F103</f>
        <v>130.262</v>
      </c>
      <c r="G103" s="68">
        <f>INDEX('01 - Orçamento Sintético'!$A$6:$AB$125,MATCH('02 - Planilha de Medição'!$A103,'01 - Orçamento Sintético'!$A$6:$A$125,0),23)</f>
        <v>26.89</v>
      </c>
      <c r="H103" s="68">
        <f>INDEX('01 - Orçamento Sintético'!$A$6:$AB$125,MATCH('02 - Planilha de Medição'!$A103,'01 - Orçamento Sintético'!$A$6:$A$125,0),24)</f>
        <v>36.369999999999997</v>
      </c>
      <c r="I103" s="68">
        <f>INDEX('01 - Orçamento Sintético'!$A$6:$AB$125,MATCH('02 - Planilha de Medição'!$A103,'01 - Orçamento Sintético'!$A$6:$A$125,0),25)</f>
        <v>63.26</v>
      </c>
      <c r="J103" s="68">
        <f>INDEX('01 - Orçamento Sintético'!$A$6:$AB$125,MATCH('02 - Planilha de Medição'!$A103,'01 - Orçamento Sintético'!$A$6:$A$125,0),26)</f>
        <v>3502.74</v>
      </c>
      <c r="K103" s="68">
        <f>INDEX('01 - Orçamento Sintético'!$A$6:$AB$125,MATCH('02 - Planilha de Medição'!$A103,'01 - Orçamento Sintético'!$A$6:$A$125,0),27)</f>
        <v>4737.630000000001</v>
      </c>
      <c r="L103" s="68">
        <f>INDEX('01 - Orçamento Sintético'!$A$6:$AB$125,MATCH('02 - Planilha de Medição'!$A103,'01 - Orçamento Sintético'!$A$6:$A$125,0),28)</f>
        <v>8240.3700000000008</v>
      </c>
      <c r="N103" s="115">
        <f>$F103/2</f>
        <v>65.131</v>
      </c>
      <c r="O103" s="67">
        <f t="shared" si="243"/>
        <v>1.2811068538349174E-3</v>
      </c>
      <c r="P103" s="68">
        <f t="shared" si="294"/>
        <v>4120.18</v>
      </c>
      <c r="Q103" s="115"/>
      <c r="R103" s="67">
        <f t="shared" si="214"/>
        <v>0</v>
      </c>
      <c r="S103" s="68">
        <f t="shared" si="295"/>
        <v>0</v>
      </c>
      <c r="U103" s="115">
        <f>F103-N103</f>
        <v>65.131</v>
      </c>
      <c r="V103" s="67">
        <f t="shared" si="216"/>
        <v>1.2811099631817272E-3</v>
      </c>
      <c r="W103" s="68">
        <f>L103-P103</f>
        <v>4120.1900000000005</v>
      </c>
      <c r="X103" s="115"/>
      <c r="Y103" s="67">
        <f t="shared" si="218"/>
        <v>0</v>
      </c>
      <c r="Z103" s="68">
        <f t="shared" si="297"/>
        <v>0</v>
      </c>
      <c r="AB103" s="115"/>
      <c r="AC103" s="67">
        <f t="shared" si="220"/>
        <v>0</v>
      </c>
      <c r="AD103" s="68">
        <f t="shared" si="298"/>
        <v>0</v>
      </c>
      <c r="AE103" s="115"/>
      <c r="AF103" s="67">
        <f t="shared" si="222"/>
        <v>0</v>
      </c>
      <c r="AG103" s="68">
        <f t="shared" si="299"/>
        <v>0</v>
      </c>
      <c r="AI103" s="115"/>
      <c r="AJ103" s="67">
        <f t="shared" si="224"/>
        <v>0</v>
      </c>
      <c r="AK103" s="68">
        <f t="shared" si="300"/>
        <v>0</v>
      </c>
      <c r="AL103" s="115"/>
      <c r="AM103" s="67">
        <f t="shared" si="226"/>
        <v>0</v>
      </c>
      <c r="AN103" s="68">
        <f t="shared" si="301"/>
        <v>0</v>
      </c>
      <c r="AP103" s="115"/>
      <c r="AQ103" s="67">
        <f t="shared" si="229"/>
        <v>0</v>
      </c>
      <c r="AR103" s="68">
        <f t="shared" si="302"/>
        <v>0</v>
      </c>
      <c r="AS103" s="115"/>
      <c r="AT103" s="67">
        <f t="shared" si="231"/>
        <v>0</v>
      </c>
      <c r="AU103" s="68">
        <f t="shared" si="303"/>
        <v>0</v>
      </c>
      <c r="AW103" s="115"/>
      <c r="AX103" s="67">
        <f t="shared" si="233"/>
        <v>0</v>
      </c>
      <c r="AY103" s="68">
        <f t="shared" si="304"/>
        <v>0</v>
      </c>
      <c r="AZ103" s="115"/>
      <c r="BA103" s="67">
        <f t="shared" si="235"/>
        <v>0</v>
      </c>
      <c r="BB103" s="68">
        <f t="shared" si="305"/>
        <v>0</v>
      </c>
      <c r="BD103" s="115">
        <f t="shared" si="306"/>
        <v>0</v>
      </c>
      <c r="BE103" s="67">
        <f t="shared" si="238"/>
        <v>0</v>
      </c>
      <c r="BF103" s="68">
        <f t="shared" si="307"/>
        <v>0</v>
      </c>
      <c r="BG103" s="133">
        <f t="shared" si="308"/>
        <v>130.262</v>
      </c>
      <c r="BH103" s="67">
        <f t="shared" si="241"/>
        <v>2.5622168170166448E-3</v>
      </c>
      <c r="BI103" s="68">
        <f t="shared" si="309"/>
        <v>8240.3700000000008</v>
      </c>
      <c r="BJ103" s="117"/>
      <c r="BL103" s="92"/>
    </row>
    <row r="104" spans="1:64" ht="76.5" x14ac:dyDescent="0.25">
      <c r="A104" s="100" t="str">
        <f>'01 - Orçamento Sintético'!A104</f>
        <v xml:space="preserve"> 3.2.4.8 </v>
      </c>
      <c r="B104" s="101" t="str">
        <f>'01 - Orçamento Sintético'!B104</f>
        <v xml:space="preserve"> 7808 </v>
      </c>
      <c r="C104" s="100" t="str">
        <f>'01 - Orçamento Sintético'!C104</f>
        <v>ORSE</v>
      </c>
      <c r="D104" s="100" t="str">
        <f>'01 - Orçamento Sintético'!D104</f>
        <v>Pintura de acabamento com aplicação de 02 demãos de esmalte sobre superfíciesmetálicas - R1</v>
      </c>
      <c r="E104" s="94" t="str">
        <f>'01 - Orçamento Sintético'!E104</f>
        <v>m²</v>
      </c>
      <c r="F104" s="94">
        <f>'01 - Orçamento Sintético'!F104</f>
        <v>82.69</v>
      </c>
      <c r="G104" s="68">
        <f>INDEX('01 - Orçamento Sintético'!$A$6:$AB$125,MATCH('02 - Planilha de Medição'!$A104,'01 - Orçamento Sintético'!$A$6:$A$125,0),23)</f>
        <v>17.920000000000002</v>
      </c>
      <c r="H104" s="68">
        <f>INDEX('01 - Orçamento Sintético'!$A$6:$AB$125,MATCH('02 - Planilha de Medição'!$A104,'01 - Orçamento Sintético'!$A$6:$A$125,0),24)</f>
        <v>16.579999999999998</v>
      </c>
      <c r="I104" s="68">
        <f>INDEX('01 - Orçamento Sintético'!$A$6:$AB$125,MATCH('02 - Planilha de Medição'!$A104,'01 - Orçamento Sintético'!$A$6:$A$125,0),25)</f>
        <v>34.5</v>
      </c>
      <c r="J104" s="68">
        <f>INDEX('01 - Orçamento Sintético'!$A$6:$AB$125,MATCH('02 - Planilha de Medição'!$A104,'01 - Orçamento Sintético'!$A$6:$A$125,0),26)</f>
        <v>1481.8</v>
      </c>
      <c r="K104" s="68">
        <f>INDEX('01 - Orçamento Sintético'!$A$6:$AB$125,MATCH('02 - Planilha de Medição'!$A104,'01 - Orçamento Sintético'!$A$6:$A$125,0),27)</f>
        <v>1371.0000000000002</v>
      </c>
      <c r="L104" s="68">
        <f>INDEX('01 - Orçamento Sintético'!$A$6:$AB$125,MATCH('02 - Planilha de Medição'!$A104,'01 - Orçamento Sintético'!$A$6:$A$125,0),28)</f>
        <v>2852.8</v>
      </c>
      <c r="N104" s="115">
        <f t="shared" ref="N104:N107" si="313">$F104/2</f>
        <v>41.344999999999999</v>
      </c>
      <c r="O104" s="67">
        <f t="shared" si="243"/>
        <v>4.4351722893420345E-4</v>
      </c>
      <c r="P104" s="68">
        <f t="shared" si="294"/>
        <v>1426.4</v>
      </c>
      <c r="Q104" s="115"/>
      <c r="R104" s="67">
        <f t="shared" si="214"/>
        <v>0</v>
      </c>
      <c r="S104" s="68">
        <f t="shared" si="295"/>
        <v>0</v>
      </c>
      <c r="U104" s="115">
        <f>F104-N104</f>
        <v>41.344999999999999</v>
      </c>
      <c r="V104" s="67">
        <f t="shared" si="216"/>
        <v>4.4351722893420345E-4</v>
      </c>
      <c r="W104" s="68">
        <f t="shared" si="296"/>
        <v>1426.4</v>
      </c>
      <c r="X104" s="115"/>
      <c r="Y104" s="67">
        <f t="shared" si="218"/>
        <v>0</v>
      </c>
      <c r="Z104" s="68">
        <f t="shared" si="297"/>
        <v>0</v>
      </c>
      <c r="AB104" s="115"/>
      <c r="AC104" s="67">
        <f t="shared" si="220"/>
        <v>0</v>
      </c>
      <c r="AD104" s="68">
        <f t="shared" si="298"/>
        <v>0</v>
      </c>
      <c r="AE104" s="115"/>
      <c r="AF104" s="67">
        <f t="shared" si="222"/>
        <v>0</v>
      </c>
      <c r="AG104" s="68">
        <f t="shared" si="299"/>
        <v>0</v>
      </c>
      <c r="AI104" s="115"/>
      <c r="AJ104" s="67">
        <f t="shared" si="224"/>
        <v>0</v>
      </c>
      <c r="AK104" s="68">
        <f t="shared" si="300"/>
        <v>0</v>
      </c>
      <c r="AL104" s="115"/>
      <c r="AM104" s="67">
        <f t="shared" si="226"/>
        <v>0</v>
      </c>
      <c r="AN104" s="68">
        <f t="shared" si="301"/>
        <v>0</v>
      </c>
      <c r="AP104" s="115"/>
      <c r="AQ104" s="67">
        <f t="shared" si="229"/>
        <v>0</v>
      </c>
      <c r="AR104" s="68">
        <f t="shared" si="302"/>
        <v>0</v>
      </c>
      <c r="AS104" s="115"/>
      <c r="AT104" s="67">
        <f t="shared" si="231"/>
        <v>0</v>
      </c>
      <c r="AU104" s="68">
        <f t="shared" si="303"/>
        <v>0</v>
      </c>
      <c r="AW104" s="115"/>
      <c r="AX104" s="67">
        <f t="shared" si="233"/>
        <v>0</v>
      </c>
      <c r="AY104" s="68">
        <f t="shared" si="304"/>
        <v>0</v>
      </c>
      <c r="AZ104" s="115"/>
      <c r="BA104" s="67">
        <f t="shared" si="235"/>
        <v>0</v>
      </c>
      <c r="BB104" s="68">
        <f t="shared" si="305"/>
        <v>0</v>
      </c>
      <c r="BD104" s="115">
        <f t="shared" si="306"/>
        <v>0</v>
      </c>
      <c r="BE104" s="67">
        <f t="shared" si="238"/>
        <v>0</v>
      </c>
      <c r="BF104" s="68">
        <f t="shared" si="307"/>
        <v>0</v>
      </c>
      <c r="BG104" s="133">
        <f t="shared" si="308"/>
        <v>82.69</v>
      </c>
      <c r="BH104" s="67">
        <f t="shared" si="241"/>
        <v>8.870344578684069E-4</v>
      </c>
      <c r="BI104" s="68">
        <f t="shared" si="309"/>
        <v>2852.8</v>
      </c>
      <c r="BJ104" s="117"/>
      <c r="BL104" s="92"/>
    </row>
    <row r="105" spans="1:64" ht="51" x14ac:dyDescent="0.25">
      <c r="A105" s="100" t="str">
        <f>'01 - Orçamento Sintético'!A105</f>
        <v xml:space="preserve"> 3.2.4.9 </v>
      </c>
      <c r="B105" s="101" t="str">
        <f>'01 - Orçamento Sintético'!B105</f>
        <v xml:space="preserve"> 9961 </v>
      </c>
      <c r="C105" s="100" t="str">
        <f>'01 - Orçamento Sintético'!C105</f>
        <v>ORSE</v>
      </c>
      <c r="D105" s="100" t="str">
        <f>'01 - Orçamento Sintético'!D105</f>
        <v>Telhamento com telha metálica em chapa de aço galvanizado natural ondulada e=0,5mm</v>
      </c>
      <c r="E105" s="94" t="str">
        <f>'01 - Orçamento Sintético'!E105</f>
        <v>m²</v>
      </c>
      <c r="F105" s="94">
        <f>'01 - Orçamento Sintético'!F105</f>
        <v>360</v>
      </c>
      <c r="G105" s="68">
        <f>INDEX('01 - Orçamento Sintético'!$A$6:$AB$125,MATCH('02 - Planilha de Medição'!$A105,'01 - Orçamento Sintético'!$A$6:$A$125,0),23)</f>
        <v>22.57</v>
      </c>
      <c r="H105" s="68">
        <f>INDEX('01 - Orçamento Sintético'!$A$6:$AB$125,MATCH('02 - Planilha de Medição'!$A105,'01 - Orçamento Sintético'!$A$6:$A$125,0),24)</f>
        <v>80.319999999999993</v>
      </c>
      <c r="I105" s="68">
        <f>INDEX('01 - Orçamento Sintético'!$A$6:$AB$125,MATCH('02 - Planilha de Medição'!$A105,'01 - Orçamento Sintético'!$A$6:$A$125,0),25)</f>
        <v>102.89</v>
      </c>
      <c r="J105" s="68">
        <f>INDEX('01 - Orçamento Sintético'!$A$6:$AB$125,MATCH('02 - Planilha de Medição'!$A105,'01 - Orçamento Sintético'!$A$6:$A$125,0),26)</f>
        <v>8125.2</v>
      </c>
      <c r="K105" s="68">
        <f>INDEX('01 - Orçamento Sintético'!$A$6:$AB$125,MATCH('02 - Planilha de Medição'!$A105,'01 - Orçamento Sintético'!$A$6:$A$125,0),27)</f>
        <v>28915.200000000001</v>
      </c>
      <c r="L105" s="68">
        <f>INDEX('01 - Orçamento Sintético'!$A$6:$AB$125,MATCH('02 - Planilha de Medição'!$A105,'01 - Orçamento Sintético'!$A$6:$A$125,0),28)</f>
        <v>37040.400000000001</v>
      </c>
      <c r="N105" s="115">
        <f t="shared" si="313"/>
        <v>180</v>
      </c>
      <c r="O105" s="67">
        <f t="shared" si="243"/>
        <v>5.758572478482357E-3</v>
      </c>
      <c r="P105" s="68">
        <f t="shared" si="294"/>
        <v>18520.2</v>
      </c>
      <c r="Q105" s="115"/>
      <c r="R105" s="67">
        <f t="shared" si="214"/>
        <v>0</v>
      </c>
      <c r="S105" s="68">
        <f t="shared" si="295"/>
        <v>0</v>
      </c>
      <c r="U105" s="115">
        <f>F105-N105</f>
        <v>180</v>
      </c>
      <c r="V105" s="67">
        <f t="shared" si="216"/>
        <v>5.758572478482357E-3</v>
      </c>
      <c r="W105" s="68">
        <f t="shared" si="296"/>
        <v>18520.2</v>
      </c>
      <c r="X105" s="115"/>
      <c r="Y105" s="67">
        <f t="shared" si="218"/>
        <v>0</v>
      </c>
      <c r="Z105" s="68">
        <f t="shared" si="297"/>
        <v>0</v>
      </c>
      <c r="AB105" s="115"/>
      <c r="AC105" s="67">
        <f t="shared" si="220"/>
        <v>0</v>
      </c>
      <c r="AD105" s="68">
        <f t="shared" si="298"/>
        <v>0</v>
      </c>
      <c r="AE105" s="115"/>
      <c r="AF105" s="67">
        <f t="shared" si="222"/>
        <v>0</v>
      </c>
      <c r="AG105" s="68">
        <f t="shared" si="299"/>
        <v>0</v>
      </c>
      <c r="AI105" s="115"/>
      <c r="AJ105" s="67">
        <f t="shared" si="224"/>
        <v>0</v>
      </c>
      <c r="AK105" s="68">
        <f t="shared" si="300"/>
        <v>0</v>
      </c>
      <c r="AL105" s="115"/>
      <c r="AM105" s="67">
        <f t="shared" si="226"/>
        <v>0</v>
      </c>
      <c r="AN105" s="68">
        <f t="shared" si="301"/>
        <v>0</v>
      </c>
      <c r="AP105" s="115"/>
      <c r="AQ105" s="67">
        <f t="shared" si="229"/>
        <v>0</v>
      </c>
      <c r="AR105" s="68">
        <f t="shared" si="302"/>
        <v>0</v>
      </c>
      <c r="AS105" s="115"/>
      <c r="AT105" s="67">
        <f t="shared" si="231"/>
        <v>0</v>
      </c>
      <c r="AU105" s="68">
        <f t="shared" si="303"/>
        <v>0</v>
      </c>
      <c r="AW105" s="115"/>
      <c r="AX105" s="67">
        <f t="shared" si="233"/>
        <v>0</v>
      </c>
      <c r="AY105" s="68">
        <f t="shared" si="304"/>
        <v>0</v>
      </c>
      <c r="AZ105" s="115"/>
      <c r="BA105" s="67">
        <f t="shared" si="235"/>
        <v>0</v>
      </c>
      <c r="BB105" s="68">
        <f t="shared" si="305"/>
        <v>0</v>
      </c>
      <c r="BD105" s="115">
        <f t="shared" si="306"/>
        <v>0</v>
      </c>
      <c r="BE105" s="67">
        <f t="shared" si="238"/>
        <v>0</v>
      </c>
      <c r="BF105" s="68">
        <f t="shared" si="307"/>
        <v>0</v>
      </c>
      <c r="BG105" s="133">
        <f t="shared" si="308"/>
        <v>360</v>
      </c>
      <c r="BH105" s="67">
        <f t="shared" si="241"/>
        <v>1.1517144956964714E-2</v>
      </c>
      <c r="BI105" s="68">
        <f t="shared" si="309"/>
        <v>37040.400000000001</v>
      </c>
      <c r="BJ105" s="117"/>
      <c r="BL105" s="92"/>
    </row>
    <row r="106" spans="1:64" ht="76.5" x14ac:dyDescent="0.25">
      <c r="A106" s="100" t="str">
        <f>'01 - Orçamento Sintético'!A106</f>
        <v xml:space="preserve"> 3.2.4.10 </v>
      </c>
      <c r="B106" s="101" t="str">
        <f>'01 - Orçamento Sintético'!B106</f>
        <v xml:space="preserve"> 4653 </v>
      </c>
      <c r="C106" s="100" t="str">
        <f>'01 - Orçamento Sintético'!C106</f>
        <v>ORSE</v>
      </c>
      <c r="D106" s="100" t="str">
        <f>'01 - Orçamento Sintético'!D106</f>
        <v>Pintura de proteção ou acabamento com 02 demão de fundo selante à base de resina epóxi - REVRAN TLS - RENNER ou similar</v>
      </c>
      <c r="E106" s="94" t="str">
        <f>'01 - Orçamento Sintético'!E106</f>
        <v>m²</v>
      </c>
      <c r="F106" s="94">
        <f>'01 - Orçamento Sintético'!F106</f>
        <v>720</v>
      </c>
      <c r="G106" s="68">
        <f>INDEX('01 - Orçamento Sintético'!$A$6:$AB$125,MATCH('02 - Planilha de Medição'!$A106,'01 - Orçamento Sintético'!$A$6:$A$125,0),23)</f>
        <v>17.920000000000002</v>
      </c>
      <c r="H106" s="68">
        <f>INDEX('01 - Orçamento Sintético'!$A$6:$AB$125,MATCH('02 - Planilha de Medição'!$A106,'01 - Orçamento Sintético'!$A$6:$A$125,0),24)</f>
        <v>19.369999999999997</v>
      </c>
      <c r="I106" s="68">
        <f>INDEX('01 - Orçamento Sintético'!$A$6:$AB$125,MATCH('02 - Planilha de Medição'!$A106,'01 - Orçamento Sintético'!$A$6:$A$125,0),25)</f>
        <v>37.29</v>
      </c>
      <c r="J106" s="68">
        <f>INDEX('01 - Orçamento Sintético'!$A$6:$AB$125,MATCH('02 - Planilha de Medição'!$A106,'01 - Orçamento Sintético'!$A$6:$A$125,0),26)</f>
        <v>12902.4</v>
      </c>
      <c r="K106" s="68">
        <f>INDEX('01 - Orçamento Sintético'!$A$6:$AB$125,MATCH('02 - Planilha de Medição'!$A106,'01 - Orçamento Sintético'!$A$6:$A$125,0),27)</f>
        <v>13946.4</v>
      </c>
      <c r="L106" s="68">
        <f>INDEX('01 - Orçamento Sintético'!$A$6:$AB$125,MATCH('02 - Planilha de Medição'!$A106,'01 - Orçamento Sintético'!$A$6:$A$125,0),28)</f>
        <v>26848.799999999999</v>
      </c>
      <c r="N106" s="115">
        <f t="shared" si="313"/>
        <v>360</v>
      </c>
      <c r="O106" s="67">
        <f t="shared" si="243"/>
        <v>4.1741115312004485E-3</v>
      </c>
      <c r="P106" s="68">
        <f t="shared" si="294"/>
        <v>13424.4</v>
      </c>
      <c r="Q106" s="115"/>
      <c r="R106" s="67">
        <f t="shared" si="214"/>
        <v>0</v>
      </c>
      <c r="S106" s="68">
        <f t="shared" si="295"/>
        <v>0</v>
      </c>
      <c r="U106" s="115">
        <f t="shared" ref="U105:U107" si="314">$F106/2</f>
        <v>360</v>
      </c>
      <c r="V106" s="67">
        <f t="shared" si="216"/>
        <v>4.1741115312004485E-3</v>
      </c>
      <c r="W106" s="68">
        <f t="shared" si="296"/>
        <v>13424.4</v>
      </c>
      <c r="X106" s="115"/>
      <c r="Y106" s="67">
        <f t="shared" si="218"/>
        <v>0</v>
      </c>
      <c r="Z106" s="68">
        <f t="shared" si="297"/>
        <v>0</v>
      </c>
      <c r="AB106" s="115"/>
      <c r="AC106" s="67">
        <f t="shared" si="220"/>
        <v>0</v>
      </c>
      <c r="AD106" s="68">
        <f t="shared" si="298"/>
        <v>0</v>
      </c>
      <c r="AE106" s="115"/>
      <c r="AF106" s="67">
        <f t="shared" si="222"/>
        <v>0</v>
      </c>
      <c r="AG106" s="68">
        <f t="shared" si="299"/>
        <v>0</v>
      </c>
      <c r="AI106" s="115"/>
      <c r="AJ106" s="67">
        <f t="shared" si="224"/>
        <v>0</v>
      </c>
      <c r="AK106" s="68">
        <f t="shared" si="300"/>
        <v>0</v>
      </c>
      <c r="AL106" s="115"/>
      <c r="AM106" s="67">
        <f t="shared" si="226"/>
        <v>0</v>
      </c>
      <c r="AN106" s="68">
        <f t="shared" si="301"/>
        <v>0</v>
      </c>
      <c r="AP106" s="115"/>
      <c r="AQ106" s="67">
        <f t="shared" si="229"/>
        <v>0</v>
      </c>
      <c r="AR106" s="68">
        <f t="shared" si="302"/>
        <v>0</v>
      </c>
      <c r="AS106" s="115"/>
      <c r="AT106" s="67">
        <f t="shared" si="231"/>
        <v>0</v>
      </c>
      <c r="AU106" s="68">
        <f t="shared" si="303"/>
        <v>0</v>
      </c>
      <c r="AW106" s="115"/>
      <c r="AX106" s="67">
        <f t="shared" si="233"/>
        <v>0</v>
      </c>
      <c r="AY106" s="68">
        <f t="shared" si="304"/>
        <v>0</v>
      </c>
      <c r="AZ106" s="115"/>
      <c r="BA106" s="67">
        <f t="shared" si="235"/>
        <v>0</v>
      </c>
      <c r="BB106" s="68">
        <f t="shared" si="305"/>
        <v>0</v>
      </c>
      <c r="BD106" s="115">
        <f t="shared" si="306"/>
        <v>0</v>
      </c>
      <c r="BE106" s="67">
        <f t="shared" si="238"/>
        <v>0</v>
      </c>
      <c r="BF106" s="68">
        <f t="shared" si="307"/>
        <v>0</v>
      </c>
      <c r="BG106" s="133">
        <f t="shared" si="308"/>
        <v>720</v>
      </c>
      <c r="BH106" s="67">
        <f t="shared" si="241"/>
        <v>8.3482230624008971E-3</v>
      </c>
      <c r="BI106" s="68">
        <f t="shared" si="309"/>
        <v>26848.799999999999</v>
      </c>
      <c r="BJ106" s="117"/>
      <c r="BL106" s="92"/>
    </row>
    <row r="107" spans="1:64" ht="127.5" x14ac:dyDescent="0.25">
      <c r="A107" s="100" t="str">
        <f>'01 - Orçamento Sintético'!A107</f>
        <v xml:space="preserve"> 3.2.4.11 </v>
      </c>
      <c r="B107" s="101" t="str">
        <f>'01 - Orçamento Sintético'!B107</f>
        <v xml:space="preserve"> 5056 </v>
      </c>
      <c r="C107" s="100" t="str">
        <f>'01 - Orçamento Sintético'!C107</f>
        <v>ORSE</v>
      </c>
      <c r="D107" s="100" t="str">
        <f>'01 - Orçamento Sintético'!D107</f>
        <v>Pintura de proteção sobre superfícies metálicas com aplicação de 02 demãos detinta epoximastic de alumínio modificado, bicomponente, SUMASTIC 228 AR, da Sherwin Williams - Sumaré ou similar - R1</v>
      </c>
      <c r="E107" s="94" t="str">
        <f>'01 - Orçamento Sintético'!E107</f>
        <v>m²</v>
      </c>
      <c r="F107" s="94">
        <f>'01 - Orçamento Sintético'!F107</f>
        <v>720</v>
      </c>
      <c r="G107" s="68">
        <f>INDEX('01 - Orçamento Sintético'!$A$6:$AB$125,MATCH('02 - Planilha de Medição'!$A107,'01 - Orçamento Sintético'!$A$6:$A$125,0),23)</f>
        <v>26.89</v>
      </c>
      <c r="H107" s="68">
        <f>INDEX('01 - Orçamento Sintético'!$A$6:$AB$125,MATCH('02 - Planilha de Medição'!$A107,'01 - Orçamento Sintético'!$A$6:$A$125,0),24)</f>
        <v>54.239999999999995</v>
      </c>
      <c r="I107" s="68">
        <f>INDEX('01 - Orçamento Sintético'!$A$6:$AB$125,MATCH('02 - Planilha de Medição'!$A107,'01 - Orçamento Sintético'!$A$6:$A$125,0),25)</f>
        <v>81.13</v>
      </c>
      <c r="J107" s="68">
        <f>INDEX('01 - Orçamento Sintético'!$A$6:$AB$125,MATCH('02 - Planilha de Medição'!$A107,'01 - Orçamento Sintético'!$A$6:$A$125,0),26)</f>
        <v>19360.8</v>
      </c>
      <c r="K107" s="68">
        <f>INDEX('01 - Orçamento Sintético'!$A$6:$AB$125,MATCH('02 - Planilha de Medição'!$A107,'01 - Orçamento Sintético'!$A$6:$A$125,0),27)</f>
        <v>39052.800000000003</v>
      </c>
      <c r="L107" s="68">
        <f>INDEX('01 - Orçamento Sintético'!$A$6:$AB$125,MATCH('02 - Planilha de Medição'!$A107,'01 - Orçamento Sintético'!$A$6:$A$125,0),28)</f>
        <v>58413.599999999999</v>
      </c>
      <c r="N107" s="115">
        <f t="shared" si="313"/>
        <v>360</v>
      </c>
      <c r="O107" s="67">
        <f t="shared" si="243"/>
        <v>9.0814070401258346E-3</v>
      </c>
      <c r="P107" s="68">
        <f t="shared" si="294"/>
        <v>29206.799999999999</v>
      </c>
      <c r="Q107" s="115"/>
      <c r="R107" s="67">
        <f t="shared" si="214"/>
        <v>0</v>
      </c>
      <c r="S107" s="68">
        <f t="shared" si="295"/>
        <v>0</v>
      </c>
      <c r="U107" s="115">
        <f t="shared" si="314"/>
        <v>360</v>
      </c>
      <c r="V107" s="67">
        <f t="shared" si="216"/>
        <v>9.0814070401258346E-3</v>
      </c>
      <c r="W107" s="68">
        <f t="shared" si="296"/>
        <v>29206.799999999999</v>
      </c>
      <c r="X107" s="115"/>
      <c r="Y107" s="67">
        <f t="shared" si="218"/>
        <v>0</v>
      </c>
      <c r="Z107" s="68">
        <f t="shared" si="297"/>
        <v>0</v>
      </c>
      <c r="AB107" s="115"/>
      <c r="AC107" s="67">
        <f t="shared" si="220"/>
        <v>0</v>
      </c>
      <c r="AD107" s="68">
        <f t="shared" si="298"/>
        <v>0</v>
      </c>
      <c r="AE107" s="115"/>
      <c r="AF107" s="67">
        <f t="shared" si="222"/>
        <v>0</v>
      </c>
      <c r="AG107" s="68">
        <f t="shared" si="299"/>
        <v>0</v>
      </c>
      <c r="AI107" s="115"/>
      <c r="AJ107" s="67">
        <f t="shared" si="224"/>
        <v>0</v>
      </c>
      <c r="AK107" s="68">
        <f t="shared" si="300"/>
        <v>0</v>
      </c>
      <c r="AL107" s="115"/>
      <c r="AM107" s="67">
        <f t="shared" si="226"/>
        <v>0</v>
      </c>
      <c r="AN107" s="68">
        <f t="shared" si="301"/>
        <v>0</v>
      </c>
      <c r="AP107" s="115"/>
      <c r="AQ107" s="67">
        <f t="shared" si="229"/>
        <v>0</v>
      </c>
      <c r="AR107" s="68">
        <f t="shared" si="302"/>
        <v>0</v>
      </c>
      <c r="AS107" s="115"/>
      <c r="AT107" s="67">
        <f t="shared" si="231"/>
        <v>0</v>
      </c>
      <c r="AU107" s="68">
        <f t="shared" si="303"/>
        <v>0</v>
      </c>
      <c r="AW107" s="115"/>
      <c r="AX107" s="67">
        <f t="shared" si="233"/>
        <v>0</v>
      </c>
      <c r="AY107" s="68">
        <f t="shared" si="304"/>
        <v>0</v>
      </c>
      <c r="AZ107" s="115"/>
      <c r="BA107" s="67">
        <f t="shared" si="235"/>
        <v>0</v>
      </c>
      <c r="BB107" s="68">
        <f t="shared" si="305"/>
        <v>0</v>
      </c>
      <c r="BD107" s="115">
        <f t="shared" si="306"/>
        <v>0</v>
      </c>
      <c r="BE107" s="67">
        <f t="shared" si="238"/>
        <v>0</v>
      </c>
      <c r="BF107" s="68">
        <f t="shared" si="307"/>
        <v>0</v>
      </c>
      <c r="BG107" s="133">
        <f t="shared" si="308"/>
        <v>720</v>
      </c>
      <c r="BH107" s="67">
        <f t="shared" si="241"/>
        <v>1.8162814080251669E-2</v>
      </c>
      <c r="BI107" s="68">
        <f t="shared" si="309"/>
        <v>58413.599999999999</v>
      </c>
      <c r="BJ107" s="117"/>
      <c r="BL107" s="92"/>
    </row>
    <row r="108" spans="1:64" ht="89.25" x14ac:dyDescent="0.25">
      <c r="A108" s="102" t="str">
        <f>'01 - Orçamento Sintético'!A108</f>
        <v xml:space="preserve"> 3.2.4.12 </v>
      </c>
      <c r="B108" s="103" t="str">
        <f>'01 - Orçamento Sintético'!B108</f>
        <v xml:space="preserve"> 00040839 </v>
      </c>
      <c r="C108" s="102" t="str">
        <f>'01 - Orçamento Sintético'!C108</f>
        <v>SINAPI</v>
      </c>
      <c r="D108" s="102" t="str">
        <f>'01 - Orçamento Sintético'!D108</f>
        <v>PARAFUSO, ASTM A307 - GRAU A, SEXTAVADO, ZINCADO, DIAMETRO 3/8" (9,52 MM), COMPRIMENTO 1" (25,4 MM)</v>
      </c>
      <c r="E108" s="95" t="str">
        <f>'01 - Orçamento Sintético'!E108</f>
        <v>CENTO</v>
      </c>
      <c r="F108" s="95">
        <f>'01 - Orçamento Sintético'!F108</f>
        <v>2</v>
      </c>
      <c r="G108" s="95">
        <f>INDEX('01 - Orçamento Sintético'!$A$6:$AB$125,MATCH('02 - Planilha de Medição'!$A108,'01 - Orçamento Sintético'!$A$6:$A$125,0),23)</f>
        <v>0</v>
      </c>
      <c r="H108" s="95">
        <f>INDEX('01 - Orçamento Sintético'!$A$6:$AB$125,MATCH('02 - Planilha de Medição'!$A108,'01 - Orçamento Sintético'!$A$6:$A$125,0),24)</f>
        <v>113.1</v>
      </c>
      <c r="I108" s="95">
        <f>INDEX('01 - Orçamento Sintético'!$A$6:$AB$125,MATCH('02 - Planilha de Medição'!$A108,'01 - Orçamento Sintético'!$A$6:$A$125,0),25)</f>
        <v>113.1</v>
      </c>
      <c r="J108" s="95">
        <f>INDEX('01 - Orçamento Sintético'!$A$6:$AB$125,MATCH('02 - Planilha de Medição'!$A108,'01 - Orçamento Sintético'!$A$6:$A$125,0),26)</f>
        <v>0</v>
      </c>
      <c r="K108" s="95">
        <f>INDEX('01 - Orçamento Sintético'!$A$6:$AB$125,MATCH('02 - Planilha de Medição'!$A108,'01 - Orçamento Sintético'!$A$6:$A$125,0),27)</f>
        <v>226.2</v>
      </c>
      <c r="L108" s="95">
        <f>INDEX('01 - Orçamento Sintético'!$A$6:$AB$125,MATCH('02 - Planilha de Medição'!$A108,'01 - Orçamento Sintético'!$A$6:$A$125,0),28)</f>
        <v>226.2</v>
      </c>
      <c r="N108" s="95"/>
      <c r="O108" s="121">
        <f t="shared" si="243"/>
        <v>0</v>
      </c>
      <c r="P108" s="95">
        <f t="shared" ref="P108" si="315">TRUNC(N108*$I108,2)</f>
        <v>0</v>
      </c>
      <c r="Q108" s="136"/>
      <c r="R108" s="121">
        <f t="shared" si="214"/>
        <v>0</v>
      </c>
      <c r="S108" s="95">
        <f t="shared" ref="S108" si="316">TRUNC(Q108*$I108,2)</f>
        <v>0</v>
      </c>
      <c r="U108" s="95">
        <f>F108</f>
        <v>2</v>
      </c>
      <c r="V108" s="121">
        <f t="shared" si="216"/>
        <v>7.0333424835191256E-5</v>
      </c>
      <c r="W108" s="95">
        <f t="shared" si="296"/>
        <v>226.2</v>
      </c>
      <c r="X108" s="136"/>
      <c r="Y108" s="121">
        <f t="shared" si="218"/>
        <v>0</v>
      </c>
      <c r="Z108" s="95">
        <f t="shared" si="297"/>
        <v>0</v>
      </c>
      <c r="AB108" s="95"/>
      <c r="AC108" s="121">
        <f t="shared" si="220"/>
        <v>0</v>
      </c>
      <c r="AD108" s="95">
        <f t="shared" si="298"/>
        <v>0</v>
      </c>
      <c r="AE108" s="136"/>
      <c r="AF108" s="121">
        <f t="shared" si="222"/>
        <v>0</v>
      </c>
      <c r="AG108" s="95">
        <f t="shared" si="299"/>
        <v>0</v>
      </c>
      <c r="AI108" s="95"/>
      <c r="AJ108" s="121">
        <f t="shared" si="224"/>
        <v>0</v>
      </c>
      <c r="AK108" s="95">
        <f t="shared" si="300"/>
        <v>0</v>
      </c>
      <c r="AL108" s="136"/>
      <c r="AM108" s="121">
        <f t="shared" si="226"/>
        <v>0</v>
      </c>
      <c r="AN108" s="95">
        <f t="shared" si="301"/>
        <v>0</v>
      </c>
      <c r="AP108" s="95"/>
      <c r="AQ108" s="121">
        <f t="shared" si="229"/>
        <v>0</v>
      </c>
      <c r="AR108" s="95">
        <f t="shared" si="302"/>
        <v>0</v>
      </c>
      <c r="AS108" s="136"/>
      <c r="AT108" s="121">
        <f t="shared" si="231"/>
        <v>0</v>
      </c>
      <c r="AU108" s="95">
        <f t="shared" si="303"/>
        <v>0</v>
      </c>
      <c r="AW108" s="95"/>
      <c r="AX108" s="121">
        <f t="shared" si="233"/>
        <v>0</v>
      </c>
      <c r="AY108" s="95">
        <f t="shared" si="304"/>
        <v>0</v>
      </c>
      <c r="AZ108" s="136"/>
      <c r="BA108" s="121">
        <f t="shared" si="235"/>
        <v>0</v>
      </c>
      <c r="BB108" s="95">
        <f t="shared" si="305"/>
        <v>0</v>
      </c>
      <c r="BD108" s="136">
        <f t="shared" ref="BD108" si="317">SUM(Q108,X108,AE108,AL108,AS108,AZ108)</f>
        <v>0</v>
      </c>
      <c r="BE108" s="121">
        <f t="shared" si="238"/>
        <v>0</v>
      </c>
      <c r="BF108" s="141">
        <f t="shared" ref="BF108" si="318">TRUNC(BD108*$I108,2)</f>
        <v>0</v>
      </c>
      <c r="BG108" s="136">
        <f t="shared" ref="BG108" si="319">$F108-BD108</f>
        <v>2</v>
      </c>
      <c r="BH108" s="121">
        <f t="shared" si="241"/>
        <v>7.0333424835191256E-5</v>
      </c>
      <c r="BI108" s="141">
        <f t="shared" ref="BI108" si="320">TRUNC(BG108*$I108,2)</f>
        <v>226.2</v>
      </c>
      <c r="BJ108" s="117"/>
      <c r="BL108" s="92"/>
    </row>
    <row r="109" spans="1:64" x14ac:dyDescent="0.25">
      <c r="A109" s="102" t="str">
        <f>'01 - Orçamento Sintético'!A109</f>
        <v xml:space="preserve"> 3.2.4.13 </v>
      </c>
      <c r="B109" s="103" t="str">
        <f>'01 - Orçamento Sintético'!B109</f>
        <v xml:space="preserve"> 11072 </v>
      </c>
      <c r="C109" s="102" t="str">
        <f>'01 - Orçamento Sintético'!C109</f>
        <v>ORSE</v>
      </c>
      <c r="D109" s="102" t="str">
        <f>'01 - Orçamento Sintético'!D109</f>
        <v>Arruela lisa de 3/8"</v>
      </c>
      <c r="E109" s="95" t="str">
        <f>'01 - Orçamento Sintético'!E109</f>
        <v>un</v>
      </c>
      <c r="F109" s="95">
        <f>'01 - Orçamento Sintético'!F109</f>
        <v>384</v>
      </c>
      <c r="G109" s="95">
        <f>INDEX('01 - Orçamento Sintético'!$A$6:$AB$125,MATCH('02 - Planilha de Medição'!$A109,'01 - Orçamento Sintético'!$A$6:$A$125,0),23)</f>
        <v>0</v>
      </c>
      <c r="H109" s="95">
        <f>INDEX('01 - Orçamento Sintético'!$A$6:$AB$125,MATCH('02 - Planilha de Medição'!$A109,'01 - Orçamento Sintético'!$A$6:$A$125,0),24)</f>
        <v>0.13</v>
      </c>
      <c r="I109" s="95">
        <f>INDEX('01 - Orçamento Sintético'!$A$6:$AB$125,MATCH('02 - Planilha de Medição'!$A109,'01 - Orçamento Sintético'!$A$6:$A$125,0),25)</f>
        <v>0.13</v>
      </c>
      <c r="J109" s="95">
        <f>INDEX('01 - Orçamento Sintético'!$A$6:$AB$125,MATCH('02 - Planilha de Medição'!$A109,'01 - Orçamento Sintético'!$A$6:$A$125,0),26)</f>
        <v>0</v>
      </c>
      <c r="K109" s="95">
        <f>INDEX('01 - Orçamento Sintético'!$A$6:$AB$125,MATCH('02 - Planilha de Medição'!$A109,'01 - Orçamento Sintético'!$A$6:$A$125,0),27)</f>
        <v>49.92</v>
      </c>
      <c r="L109" s="95">
        <f>INDEX('01 - Orçamento Sintético'!$A$6:$AB$125,MATCH('02 - Planilha de Medição'!$A109,'01 - Orçamento Sintético'!$A$6:$A$125,0),28)</f>
        <v>49.92</v>
      </c>
      <c r="N109" s="95"/>
      <c r="O109" s="121">
        <f t="shared" si="243"/>
        <v>0</v>
      </c>
      <c r="P109" s="95">
        <f t="shared" ref="P109:P112" si="321">TRUNC(N109*$I109,2)</f>
        <v>0</v>
      </c>
      <c r="Q109" s="136"/>
      <c r="R109" s="121">
        <f t="shared" si="214"/>
        <v>0</v>
      </c>
      <c r="S109" s="95">
        <f t="shared" ref="S109:S112" si="322">TRUNC(Q109*$I109,2)</f>
        <v>0</v>
      </c>
      <c r="U109" s="95">
        <f t="shared" ref="U109:U112" si="323">F109</f>
        <v>384</v>
      </c>
      <c r="V109" s="121">
        <f t="shared" si="216"/>
        <v>1.5521859273973243E-5</v>
      </c>
      <c r="W109" s="95">
        <f t="shared" si="296"/>
        <v>49.92</v>
      </c>
      <c r="X109" s="136"/>
      <c r="Y109" s="121">
        <f t="shared" si="218"/>
        <v>0</v>
      </c>
      <c r="Z109" s="95">
        <f t="shared" si="297"/>
        <v>0</v>
      </c>
      <c r="AB109" s="95"/>
      <c r="AC109" s="121">
        <f t="shared" si="220"/>
        <v>0</v>
      </c>
      <c r="AD109" s="95">
        <f t="shared" si="298"/>
        <v>0</v>
      </c>
      <c r="AE109" s="136"/>
      <c r="AF109" s="121">
        <f t="shared" si="222"/>
        <v>0</v>
      </c>
      <c r="AG109" s="95">
        <f t="shared" si="299"/>
        <v>0</v>
      </c>
      <c r="AI109" s="95"/>
      <c r="AJ109" s="121">
        <f t="shared" si="224"/>
        <v>0</v>
      </c>
      <c r="AK109" s="95">
        <f t="shared" si="300"/>
        <v>0</v>
      </c>
      <c r="AL109" s="136"/>
      <c r="AM109" s="121">
        <f t="shared" si="226"/>
        <v>0</v>
      </c>
      <c r="AN109" s="95">
        <f t="shared" si="301"/>
        <v>0</v>
      </c>
      <c r="AP109" s="95"/>
      <c r="AQ109" s="121">
        <f t="shared" si="229"/>
        <v>0</v>
      </c>
      <c r="AR109" s="95">
        <f t="shared" si="302"/>
        <v>0</v>
      </c>
      <c r="AS109" s="136"/>
      <c r="AT109" s="121">
        <f t="shared" si="231"/>
        <v>0</v>
      </c>
      <c r="AU109" s="95">
        <f t="shared" si="303"/>
        <v>0</v>
      </c>
      <c r="AW109" s="95"/>
      <c r="AX109" s="121">
        <f t="shared" si="233"/>
        <v>0</v>
      </c>
      <c r="AY109" s="95">
        <f t="shared" si="304"/>
        <v>0</v>
      </c>
      <c r="AZ109" s="136"/>
      <c r="BA109" s="121">
        <f t="shared" si="235"/>
        <v>0</v>
      </c>
      <c r="BB109" s="95">
        <f t="shared" si="305"/>
        <v>0</v>
      </c>
      <c r="BD109" s="136">
        <f t="shared" ref="BD109:BD112" si="324">SUM(Q109,X109,AE109,AL109,AS109,AZ109)</f>
        <v>0</v>
      </c>
      <c r="BE109" s="121">
        <f t="shared" si="238"/>
        <v>0</v>
      </c>
      <c r="BF109" s="141">
        <f t="shared" ref="BF109:BF112" si="325">TRUNC(BD109*$I109,2)</f>
        <v>0</v>
      </c>
      <c r="BG109" s="136">
        <f t="shared" ref="BG109:BG112" si="326">$F109-BD109</f>
        <v>384</v>
      </c>
      <c r="BH109" s="121">
        <f t="shared" si="241"/>
        <v>1.5521859273973243E-5</v>
      </c>
      <c r="BI109" s="141">
        <f t="shared" ref="BI109:BI112" si="327">TRUNC(BG109*$I109,2)</f>
        <v>49.92</v>
      </c>
      <c r="BJ109" s="117"/>
      <c r="BL109" s="92"/>
    </row>
    <row r="110" spans="1:64" ht="38.25" x14ac:dyDescent="0.25">
      <c r="A110" s="102" t="str">
        <f>'01 - Orçamento Sintético'!A110</f>
        <v xml:space="preserve"> 3.2.4.14 </v>
      </c>
      <c r="B110" s="103" t="str">
        <f>'01 - Orçamento Sintético'!B110</f>
        <v xml:space="preserve"> 00004342 </v>
      </c>
      <c r="C110" s="102" t="str">
        <f>'01 - Orçamento Sintético'!C110</f>
        <v>SINAPI</v>
      </c>
      <c r="D110" s="102" t="str">
        <f>'01 - Orçamento Sintético'!D110</f>
        <v>PORCA ZINCADA, SEXTAVADA, DIAMETRO 3/8"</v>
      </c>
      <c r="E110" s="95" t="str">
        <f>'01 - Orçamento Sintético'!E110</f>
        <v>UN</v>
      </c>
      <c r="F110" s="95">
        <f>'01 - Orçamento Sintético'!F110</f>
        <v>192</v>
      </c>
      <c r="G110" s="95">
        <f>INDEX('01 - Orçamento Sintético'!$A$6:$AB$125,MATCH('02 - Planilha de Medição'!$A110,'01 - Orçamento Sintético'!$A$6:$A$125,0),23)</f>
        <v>0</v>
      </c>
      <c r="H110" s="95">
        <f>INDEX('01 - Orçamento Sintético'!$A$6:$AB$125,MATCH('02 - Planilha de Medição'!$A110,'01 - Orçamento Sintético'!$A$6:$A$125,0),24)</f>
        <v>0.22</v>
      </c>
      <c r="I110" s="95">
        <f>INDEX('01 - Orçamento Sintético'!$A$6:$AB$125,MATCH('02 - Planilha de Medição'!$A110,'01 - Orçamento Sintético'!$A$6:$A$125,0),25)</f>
        <v>0.22</v>
      </c>
      <c r="J110" s="95">
        <f>INDEX('01 - Orçamento Sintético'!$A$6:$AB$125,MATCH('02 - Planilha de Medição'!$A110,'01 - Orçamento Sintético'!$A$6:$A$125,0),26)</f>
        <v>0</v>
      </c>
      <c r="K110" s="95">
        <f>INDEX('01 - Orçamento Sintético'!$A$6:$AB$125,MATCH('02 - Planilha de Medição'!$A110,'01 - Orçamento Sintético'!$A$6:$A$125,0),27)</f>
        <v>42.24</v>
      </c>
      <c r="L110" s="95">
        <f>INDEX('01 - Orçamento Sintético'!$A$6:$AB$125,MATCH('02 - Planilha de Medição'!$A110,'01 - Orçamento Sintético'!$A$6:$A$125,0),28)</f>
        <v>42.24</v>
      </c>
      <c r="N110" s="95"/>
      <c r="O110" s="121">
        <f t="shared" si="243"/>
        <v>0</v>
      </c>
      <c r="P110" s="95">
        <f t="shared" si="321"/>
        <v>0</v>
      </c>
      <c r="Q110" s="136"/>
      <c r="R110" s="121">
        <f t="shared" si="214"/>
        <v>0</v>
      </c>
      <c r="S110" s="95">
        <f t="shared" si="322"/>
        <v>0</v>
      </c>
      <c r="U110" s="95">
        <f t="shared" si="323"/>
        <v>192</v>
      </c>
      <c r="V110" s="121">
        <f t="shared" si="216"/>
        <v>1.3133880924131206E-5</v>
      </c>
      <c r="W110" s="95">
        <f t="shared" si="296"/>
        <v>42.24</v>
      </c>
      <c r="X110" s="136"/>
      <c r="Y110" s="121">
        <f t="shared" si="218"/>
        <v>0</v>
      </c>
      <c r="Z110" s="95">
        <f t="shared" si="297"/>
        <v>0</v>
      </c>
      <c r="AB110" s="95"/>
      <c r="AC110" s="121">
        <f t="shared" si="220"/>
        <v>0</v>
      </c>
      <c r="AD110" s="95">
        <f t="shared" si="298"/>
        <v>0</v>
      </c>
      <c r="AE110" s="136"/>
      <c r="AF110" s="121">
        <f t="shared" si="222"/>
        <v>0</v>
      </c>
      <c r="AG110" s="95">
        <f t="shared" si="299"/>
        <v>0</v>
      </c>
      <c r="AI110" s="95"/>
      <c r="AJ110" s="121">
        <f t="shared" si="224"/>
        <v>0</v>
      </c>
      <c r="AK110" s="95">
        <f t="shared" si="300"/>
        <v>0</v>
      </c>
      <c r="AL110" s="136"/>
      <c r="AM110" s="121">
        <f t="shared" si="226"/>
        <v>0</v>
      </c>
      <c r="AN110" s="95">
        <f t="shared" si="301"/>
        <v>0</v>
      </c>
      <c r="AP110" s="95"/>
      <c r="AQ110" s="121">
        <f t="shared" si="229"/>
        <v>0</v>
      </c>
      <c r="AR110" s="95">
        <f t="shared" si="302"/>
        <v>0</v>
      </c>
      <c r="AS110" s="136"/>
      <c r="AT110" s="121">
        <f t="shared" si="231"/>
        <v>0</v>
      </c>
      <c r="AU110" s="95">
        <f t="shared" si="303"/>
        <v>0</v>
      </c>
      <c r="AW110" s="95"/>
      <c r="AX110" s="121">
        <f t="shared" si="233"/>
        <v>0</v>
      </c>
      <c r="AY110" s="95">
        <f t="shared" si="304"/>
        <v>0</v>
      </c>
      <c r="AZ110" s="136"/>
      <c r="BA110" s="121">
        <f t="shared" si="235"/>
        <v>0</v>
      </c>
      <c r="BB110" s="95">
        <f t="shared" si="305"/>
        <v>0</v>
      </c>
      <c r="BD110" s="136">
        <f t="shared" si="324"/>
        <v>0</v>
      </c>
      <c r="BE110" s="121">
        <f t="shared" si="238"/>
        <v>0</v>
      </c>
      <c r="BF110" s="141">
        <f t="shared" si="325"/>
        <v>0</v>
      </c>
      <c r="BG110" s="136">
        <f t="shared" si="326"/>
        <v>192</v>
      </c>
      <c r="BH110" s="121">
        <f t="shared" si="241"/>
        <v>1.3133880924131206E-5</v>
      </c>
      <c r="BI110" s="141">
        <f t="shared" si="327"/>
        <v>42.24</v>
      </c>
      <c r="BJ110" s="117"/>
      <c r="BL110" s="92"/>
    </row>
    <row r="111" spans="1:64" x14ac:dyDescent="0.25">
      <c r="A111" s="102" t="str">
        <f>'01 - Orçamento Sintético'!A111</f>
        <v xml:space="preserve"> 3.2.4.15 </v>
      </c>
      <c r="B111" s="103" t="str">
        <f>'01 - Orçamento Sintético'!B111</f>
        <v xml:space="preserve"> 7872 </v>
      </c>
      <c r="C111" s="102" t="str">
        <f>'01 - Orçamento Sintético'!C111</f>
        <v>ORSE</v>
      </c>
      <c r="D111" s="102" t="str">
        <f>'01 - Orçamento Sintético'!D111</f>
        <v>Arruela de pressão 1/2"</v>
      </c>
      <c r="E111" s="95" t="str">
        <f>'01 - Orçamento Sintético'!E111</f>
        <v>un</v>
      </c>
      <c r="F111" s="95">
        <f>'01 - Orçamento Sintético'!F111</f>
        <v>64</v>
      </c>
      <c r="G111" s="95">
        <f>INDEX('01 - Orçamento Sintético'!$A$6:$AB$125,MATCH('02 - Planilha de Medição'!$A111,'01 - Orçamento Sintético'!$A$6:$A$125,0),23)</f>
        <v>0</v>
      </c>
      <c r="H111" s="95">
        <f>INDEX('01 - Orçamento Sintético'!$A$6:$AB$125,MATCH('02 - Planilha de Medição'!$A111,'01 - Orçamento Sintético'!$A$6:$A$125,0),24)</f>
        <v>1.1000000000000001</v>
      </c>
      <c r="I111" s="95">
        <f>INDEX('01 - Orçamento Sintético'!$A$6:$AB$125,MATCH('02 - Planilha de Medição'!$A111,'01 - Orçamento Sintético'!$A$6:$A$125,0),25)</f>
        <v>1.1000000000000001</v>
      </c>
      <c r="J111" s="95">
        <f>INDEX('01 - Orçamento Sintético'!$A$6:$AB$125,MATCH('02 - Planilha de Medição'!$A111,'01 - Orçamento Sintético'!$A$6:$A$125,0),26)</f>
        <v>0</v>
      </c>
      <c r="K111" s="95">
        <f>INDEX('01 - Orçamento Sintético'!$A$6:$AB$125,MATCH('02 - Planilha de Medição'!$A111,'01 - Orçamento Sintético'!$A$6:$A$125,0),27)</f>
        <v>70.400000000000006</v>
      </c>
      <c r="L111" s="95">
        <f>INDEX('01 - Orçamento Sintético'!$A$6:$AB$125,MATCH('02 - Planilha de Medição'!$A111,'01 - Orçamento Sintético'!$A$6:$A$125,0),28)</f>
        <v>70.400000000000006</v>
      </c>
      <c r="N111" s="95"/>
      <c r="O111" s="121">
        <f t="shared" si="243"/>
        <v>0</v>
      </c>
      <c r="P111" s="95">
        <f t="shared" si="321"/>
        <v>0</v>
      </c>
      <c r="Q111" s="136"/>
      <c r="R111" s="121">
        <f t="shared" si="214"/>
        <v>0</v>
      </c>
      <c r="S111" s="95">
        <f t="shared" si="322"/>
        <v>0</v>
      </c>
      <c r="U111" s="95">
        <f t="shared" si="323"/>
        <v>64</v>
      </c>
      <c r="V111" s="121">
        <f t="shared" si="216"/>
        <v>2.1889801540218679E-5</v>
      </c>
      <c r="W111" s="95">
        <f t="shared" si="296"/>
        <v>70.400000000000006</v>
      </c>
      <c r="X111" s="136"/>
      <c r="Y111" s="121">
        <f t="shared" si="218"/>
        <v>0</v>
      </c>
      <c r="Z111" s="95">
        <f t="shared" si="297"/>
        <v>0</v>
      </c>
      <c r="AB111" s="95"/>
      <c r="AC111" s="121">
        <f t="shared" si="220"/>
        <v>0</v>
      </c>
      <c r="AD111" s="95">
        <f t="shared" si="298"/>
        <v>0</v>
      </c>
      <c r="AE111" s="136"/>
      <c r="AF111" s="121">
        <f t="shared" si="222"/>
        <v>0</v>
      </c>
      <c r="AG111" s="95">
        <f t="shared" si="299"/>
        <v>0</v>
      </c>
      <c r="AI111" s="95"/>
      <c r="AJ111" s="121">
        <f t="shared" si="224"/>
        <v>0</v>
      </c>
      <c r="AK111" s="95">
        <f t="shared" si="300"/>
        <v>0</v>
      </c>
      <c r="AL111" s="136"/>
      <c r="AM111" s="121">
        <f t="shared" si="226"/>
        <v>0</v>
      </c>
      <c r="AN111" s="95">
        <f t="shared" si="301"/>
        <v>0</v>
      </c>
      <c r="AP111" s="95"/>
      <c r="AQ111" s="121">
        <f t="shared" si="229"/>
        <v>0</v>
      </c>
      <c r="AR111" s="95">
        <f t="shared" si="302"/>
        <v>0</v>
      </c>
      <c r="AS111" s="136"/>
      <c r="AT111" s="121">
        <f t="shared" si="231"/>
        <v>0</v>
      </c>
      <c r="AU111" s="95">
        <f t="shared" si="303"/>
        <v>0</v>
      </c>
      <c r="AW111" s="95"/>
      <c r="AX111" s="121">
        <f t="shared" si="233"/>
        <v>0</v>
      </c>
      <c r="AY111" s="95">
        <f t="shared" si="304"/>
        <v>0</v>
      </c>
      <c r="AZ111" s="136"/>
      <c r="BA111" s="121">
        <f t="shared" si="235"/>
        <v>0</v>
      </c>
      <c r="BB111" s="95">
        <f t="shared" si="305"/>
        <v>0</v>
      </c>
      <c r="BD111" s="136">
        <f t="shared" si="324"/>
        <v>0</v>
      </c>
      <c r="BE111" s="121">
        <f t="shared" si="238"/>
        <v>0</v>
      </c>
      <c r="BF111" s="141">
        <f t="shared" si="325"/>
        <v>0</v>
      </c>
      <c r="BG111" s="136">
        <f t="shared" si="326"/>
        <v>64</v>
      </c>
      <c r="BH111" s="121">
        <f t="shared" si="241"/>
        <v>2.1889801540218679E-5</v>
      </c>
      <c r="BI111" s="141">
        <f t="shared" si="327"/>
        <v>70.400000000000006</v>
      </c>
      <c r="BJ111" s="117"/>
      <c r="BL111" s="92"/>
    </row>
    <row r="112" spans="1:64" ht="38.25" x14ac:dyDescent="0.25">
      <c r="A112" s="102" t="str">
        <f>'01 - Orçamento Sintético'!A112</f>
        <v xml:space="preserve"> 3.2.4.16 </v>
      </c>
      <c r="B112" s="103" t="str">
        <f>'01 - Orçamento Sintético'!B112</f>
        <v xml:space="preserve"> 00004339 </v>
      </c>
      <c r="C112" s="102" t="str">
        <f>'01 - Orçamento Sintético'!C112</f>
        <v>SINAPI</v>
      </c>
      <c r="D112" s="102" t="str">
        <f>'01 - Orçamento Sintético'!D112</f>
        <v>PORCA ZINCADA, SEXTAVADA, DIAMETRO 1/2"</v>
      </c>
      <c r="E112" s="95" t="str">
        <f>'01 - Orçamento Sintético'!E112</f>
        <v>UN</v>
      </c>
      <c r="F112" s="95">
        <f>'01 - Orçamento Sintético'!F112</f>
        <v>64</v>
      </c>
      <c r="G112" s="95">
        <f>INDEX('01 - Orçamento Sintético'!$A$6:$AB$125,MATCH('02 - Planilha de Medição'!$A112,'01 - Orçamento Sintético'!$A$6:$A$125,0),23)</f>
        <v>0</v>
      </c>
      <c r="H112" s="95">
        <f>INDEX('01 - Orçamento Sintético'!$A$6:$AB$125,MATCH('02 - Planilha de Medição'!$A112,'01 - Orçamento Sintético'!$A$6:$A$125,0),24)</f>
        <v>0.54</v>
      </c>
      <c r="I112" s="95">
        <f>INDEX('01 - Orçamento Sintético'!$A$6:$AB$125,MATCH('02 - Planilha de Medição'!$A112,'01 - Orçamento Sintético'!$A$6:$A$125,0),25)</f>
        <v>0.54</v>
      </c>
      <c r="J112" s="95">
        <f>INDEX('01 - Orçamento Sintético'!$A$6:$AB$125,MATCH('02 - Planilha de Medição'!$A112,'01 - Orçamento Sintético'!$A$6:$A$125,0),26)</f>
        <v>0</v>
      </c>
      <c r="K112" s="95">
        <f>INDEX('01 - Orçamento Sintético'!$A$6:$AB$125,MATCH('02 - Planilha de Medição'!$A112,'01 - Orçamento Sintético'!$A$6:$A$125,0),27)</f>
        <v>34.56</v>
      </c>
      <c r="L112" s="95">
        <f>INDEX('01 - Orçamento Sintético'!$A$6:$AB$125,MATCH('02 - Planilha de Medição'!$A112,'01 - Orçamento Sintético'!$A$6:$A$125,0),28)</f>
        <v>34.56</v>
      </c>
      <c r="N112" s="95"/>
      <c r="O112" s="121">
        <f t="shared" si="243"/>
        <v>0</v>
      </c>
      <c r="P112" s="95">
        <f t="shared" si="321"/>
        <v>0</v>
      </c>
      <c r="Q112" s="136"/>
      <c r="R112" s="121">
        <f t="shared" si="214"/>
        <v>0</v>
      </c>
      <c r="S112" s="95">
        <f t="shared" si="322"/>
        <v>0</v>
      </c>
      <c r="U112" s="95">
        <f t="shared" si="323"/>
        <v>64</v>
      </c>
      <c r="V112" s="121">
        <f t="shared" si="216"/>
        <v>1.0745902574289169E-5</v>
      </c>
      <c r="W112" s="95">
        <f t="shared" si="296"/>
        <v>34.56</v>
      </c>
      <c r="X112" s="136"/>
      <c r="Y112" s="121">
        <f t="shared" si="218"/>
        <v>0</v>
      </c>
      <c r="Z112" s="95">
        <f t="shared" si="297"/>
        <v>0</v>
      </c>
      <c r="AB112" s="95"/>
      <c r="AC112" s="121">
        <f t="shared" si="220"/>
        <v>0</v>
      </c>
      <c r="AD112" s="95">
        <f t="shared" si="298"/>
        <v>0</v>
      </c>
      <c r="AE112" s="136"/>
      <c r="AF112" s="121">
        <f t="shared" si="222"/>
        <v>0</v>
      </c>
      <c r="AG112" s="95">
        <f t="shared" si="299"/>
        <v>0</v>
      </c>
      <c r="AI112" s="95"/>
      <c r="AJ112" s="121">
        <f t="shared" si="224"/>
        <v>0</v>
      </c>
      <c r="AK112" s="95">
        <f t="shared" si="300"/>
        <v>0</v>
      </c>
      <c r="AL112" s="136"/>
      <c r="AM112" s="121">
        <f t="shared" si="226"/>
        <v>0</v>
      </c>
      <c r="AN112" s="95">
        <f t="shared" si="301"/>
        <v>0</v>
      </c>
      <c r="AP112" s="95"/>
      <c r="AQ112" s="121">
        <f t="shared" si="229"/>
        <v>0</v>
      </c>
      <c r="AR112" s="95">
        <f t="shared" si="302"/>
        <v>0</v>
      </c>
      <c r="AS112" s="136"/>
      <c r="AT112" s="121">
        <f t="shared" si="231"/>
        <v>0</v>
      </c>
      <c r="AU112" s="95">
        <f t="shared" si="303"/>
        <v>0</v>
      </c>
      <c r="AW112" s="95"/>
      <c r="AX112" s="121">
        <f t="shared" si="233"/>
        <v>0</v>
      </c>
      <c r="AY112" s="95">
        <f t="shared" si="304"/>
        <v>0</v>
      </c>
      <c r="AZ112" s="136"/>
      <c r="BA112" s="121">
        <f t="shared" si="235"/>
        <v>0</v>
      </c>
      <c r="BB112" s="95">
        <f t="shared" si="305"/>
        <v>0</v>
      </c>
      <c r="BD112" s="136">
        <f t="shared" si="324"/>
        <v>0</v>
      </c>
      <c r="BE112" s="121">
        <f t="shared" si="238"/>
        <v>0</v>
      </c>
      <c r="BF112" s="141">
        <f t="shared" si="325"/>
        <v>0</v>
      </c>
      <c r="BG112" s="136">
        <f t="shared" si="326"/>
        <v>64</v>
      </c>
      <c r="BH112" s="121">
        <f t="shared" si="241"/>
        <v>1.0745902574289169E-5</v>
      </c>
      <c r="BI112" s="141">
        <f t="shared" si="327"/>
        <v>34.56</v>
      </c>
      <c r="BJ112" s="117"/>
      <c r="BL112" s="92"/>
    </row>
    <row r="113" spans="1:64" x14ac:dyDescent="0.25">
      <c r="A113" s="99" t="str">
        <f>'01 - Orçamento Sintético'!A113</f>
        <v xml:space="preserve"> 3.2.5 </v>
      </c>
      <c r="B113" s="99"/>
      <c r="C113" s="99"/>
      <c r="D113" s="99" t="str">
        <f>'01 - Orçamento Sintético'!D113</f>
        <v>Telhado</v>
      </c>
      <c r="E113" s="99"/>
      <c r="F113" s="93"/>
      <c r="G113" s="69"/>
      <c r="H113" s="69"/>
      <c r="I113" s="69"/>
      <c r="J113" s="69"/>
      <c r="K113" s="69"/>
      <c r="L113" s="70">
        <f>INDEX('01 - Orçamento Sintético'!$A$6:$AB$125,MATCH('02 - Planilha de Medição'!$A113,'01 - Orçamento Sintético'!$A$6:$A$125,0),28)</f>
        <v>195618.12</v>
      </c>
      <c r="N113" s="116"/>
      <c r="O113" s="120">
        <f t="shared" si="243"/>
        <v>3.2653390079161362E-2</v>
      </c>
      <c r="P113" s="70">
        <f>SUM(P114:P118)</f>
        <v>105016.88</v>
      </c>
      <c r="Q113" s="116"/>
      <c r="R113" s="120">
        <f t="shared" si="214"/>
        <v>0</v>
      </c>
      <c r="S113" s="70">
        <f>SUM(S114:S118)</f>
        <v>0</v>
      </c>
      <c r="U113" s="116"/>
      <c r="V113" s="120">
        <f t="shared" si="216"/>
        <v>2.8171067654797183E-2</v>
      </c>
      <c r="W113" s="70">
        <f>SUM(W114:W118)</f>
        <v>90601.239999999991</v>
      </c>
      <c r="X113" s="116"/>
      <c r="Y113" s="120">
        <f t="shared" si="218"/>
        <v>0</v>
      </c>
      <c r="Z113" s="70">
        <f>SUM(Z114:Z118)</f>
        <v>0</v>
      </c>
      <c r="AB113" s="116"/>
      <c r="AC113" s="120">
        <f t="shared" si="220"/>
        <v>0</v>
      </c>
      <c r="AD113" s="70">
        <f>SUM(AD114:AD118)</f>
        <v>0</v>
      </c>
      <c r="AE113" s="116"/>
      <c r="AF113" s="120">
        <f t="shared" si="222"/>
        <v>0</v>
      </c>
      <c r="AG113" s="70">
        <f>SUM(AG114:AG118)</f>
        <v>0</v>
      </c>
      <c r="AI113" s="116"/>
      <c r="AJ113" s="120">
        <f t="shared" si="224"/>
        <v>0</v>
      </c>
      <c r="AK113" s="70">
        <f>SUM(AK114:AK118)</f>
        <v>0</v>
      </c>
      <c r="AL113" s="116"/>
      <c r="AM113" s="120">
        <f t="shared" si="226"/>
        <v>0</v>
      </c>
      <c r="AN113" s="70">
        <f>SUM(AN114:AN118)</f>
        <v>0</v>
      </c>
      <c r="AP113" s="116"/>
      <c r="AQ113" s="120">
        <f t="shared" si="229"/>
        <v>0</v>
      </c>
      <c r="AR113" s="70">
        <f>SUM(AR114:AR118)</f>
        <v>0</v>
      </c>
      <c r="AS113" s="116"/>
      <c r="AT113" s="120">
        <f t="shared" si="231"/>
        <v>0</v>
      </c>
      <c r="AU113" s="70">
        <f>SUM(AU114:AU118)</f>
        <v>0</v>
      </c>
      <c r="AW113" s="116"/>
      <c r="AX113" s="120">
        <f t="shared" si="233"/>
        <v>0</v>
      </c>
      <c r="AY113" s="70">
        <f>SUM(AY114:AY118)</f>
        <v>0</v>
      </c>
      <c r="AZ113" s="116"/>
      <c r="BA113" s="120">
        <f t="shared" si="235"/>
        <v>0</v>
      </c>
      <c r="BB113" s="70">
        <f>SUM(BB114:BB118)</f>
        <v>0</v>
      </c>
      <c r="BD113" s="116"/>
      <c r="BE113" s="120">
        <f t="shared" si="238"/>
        <v>0</v>
      </c>
      <c r="BF113" s="70">
        <f>SUM(BF114:BF118)</f>
        <v>0</v>
      </c>
      <c r="BG113" s="134"/>
      <c r="BH113" s="120">
        <f t="shared" si="241"/>
        <v>6.0824457733958545E-2</v>
      </c>
      <c r="BI113" s="70">
        <f>SUM(BI114:BI118)</f>
        <v>195618.12</v>
      </c>
      <c r="BJ113" s="117"/>
      <c r="BL113" s="92"/>
    </row>
    <row r="114" spans="1:64" ht="51" x14ac:dyDescent="0.25">
      <c r="A114" s="100" t="str">
        <f>'01 - Orçamento Sintético'!A114</f>
        <v xml:space="preserve"> 3.2.5.1 </v>
      </c>
      <c r="B114" s="101" t="str">
        <f>'01 - Orçamento Sintético'!B114</f>
        <v xml:space="preserve"> 100142 </v>
      </c>
      <c r="C114" s="100" t="str">
        <f>'01 - Orçamento Sintético'!C114</f>
        <v>SBC</v>
      </c>
      <c r="D114" s="100" t="str">
        <f>'01 - Orçamento Sintético'!D114</f>
        <v>TELHA METALICA SANDUICHE TRAPEZOIDAL 2 FACES TR40</v>
      </c>
      <c r="E114" s="94" t="str">
        <f>'01 - Orçamento Sintético'!E114</f>
        <v>m²</v>
      </c>
      <c r="F114" s="94">
        <f>'01 - Orçamento Sintético'!F114</f>
        <v>292.73</v>
      </c>
      <c r="G114" s="68">
        <f>INDEX('01 - Orçamento Sintético'!$A$6:$AB$125,MATCH('02 - Planilha de Medição'!$A114,'01 - Orçamento Sintético'!$A$6:$A$125,0),23)</f>
        <v>6.79</v>
      </c>
      <c r="H114" s="68">
        <f>INDEX('01 - Orçamento Sintético'!$A$6:$AB$125,MATCH('02 - Planilha de Medição'!$A114,'01 - Orçamento Sintético'!$A$6:$A$125,0),24)</f>
        <v>351.96</v>
      </c>
      <c r="I114" s="68">
        <f>INDEX('01 - Orçamento Sintético'!$A$6:$AB$125,MATCH('02 - Planilha de Medição'!$A114,'01 - Orçamento Sintético'!$A$6:$A$125,0),25)</f>
        <v>358.75</v>
      </c>
      <c r="J114" s="68">
        <f>INDEX('01 - Orçamento Sintético'!$A$6:$AB$125,MATCH('02 - Planilha de Medição'!$A114,'01 - Orçamento Sintético'!$A$6:$A$125,0),26)</f>
        <v>1987.63</v>
      </c>
      <c r="K114" s="68">
        <f>INDEX('01 - Orçamento Sintético'!$A$6:$AB$125,MATCH('02 - Planilha de Medição'!$A114,'01 - Orçamento Sintético'!$A$6:$A$125,0),27)</f>
        <v>103029.25</v>
      </c>
      <c r="L114" s="68">
        <f>INDEX('01 - Orçamento Sintético'!$A$6:$AB$125,MATCH('02 - Planilha de Medição'!$A114,'01 - Orçamento Sintético'!$A$6:$A$125,0),28)</f>
        <v>105016.88</v>
      </c>
      <c r="N114" s="115">
        <f>F114</f>
        <v>292.73</v>
      </c>
      <c r="O114" s="67">
        <f t="shared" si="243"/>
        <v>3.2653390079161362E-2</v>
      </c>
      <c r="P114" s="68">
        <f t="shared" ref="P114" si="328">TRUNC(N114*$I114,2)</f>
        <v>105016.88</v>
      </c>
      <c r="Q114" s="115"/>
      <c r="R114" s="67">
        <f t="shared" si="214"/>
        <v>0</v>
      </c>
      <c r="S114" s="68">
        <f t="shared" ref="S114" si="329">TRUNC(Q114*$I114,2)</f>
        <v>0</v>
      </c>
      <c r="U114" s="115"/>
      <c r="V114" s="67">
        <f t="shared" si="216"/>
        <v>0</v>
      </c>
      <c r="W114" s="68">
        <f t="shared" ref="W114:W118" si="330">TRUNC(U114*$I114,2)</f>
        <v>0</v>
      </c>
      <c r="X114" s="115"/>
      <c r="Y114" s="67">
        <f t="shared" si="218"/>
        <v>0</v>
      </c>
      <c r="Z114" s="68">
        <f t="shared" ref="Z114:Z118" si="331">TRUNC(X114*$I114,2)</f>
        <v>0</v>
      </c>
      <c r="AB114" s="115"/>
      <c r="AC114" s="67">
        <f t="shared" si="220"/>
        <v>0</v>
      </c>
      <c r="AD114" s="68">
        <f t="shared" ref="AD114:AD118" si="332">TRUNC(AB114*$I114,2)</f>
        <v>0</v>
      </c>
      <c r="AE114" s="115"/>
      <c r="AF114" s="67">
        <f t="shared" si="222"/>
        <v>0</v>
      </c>
      <c r="AG114" s="68">
        <f t="shared" ref="AG114:AG118" si="333">TRUNC(AE114*$I114,2)</f>
        <v>0</v>
      </c>
      <c r="AI114" s="115"/>
      <c r="AJ114" s="67">
        <f t="shared" si="224"/>
        <v>0</v>
      </c>
      <c r="AK114" s="68">
        <f t="shared" ref="AK114:AK118" si="334">TRUNC(AI114*$I114,2)</f>
        <v>0</v>
      </c>
      <c r="AL114" s="115"/>
      <c r="AM114" s="67">
        <f t="shared" si="226"/>
        <v>0</v>
      </c>
      <c r="AN114" s="68">
        <f t="shared" ref="AN114:AN118" si="335">TRUNC(AL114*$I114,2)</f>
        <v>0</v>
      </c>
      <c r="AP114" s="115"/>
      <c r="AQ114" s="67">
        <f t="shared" si="229"/>
        <v>0</v>
      </c>
      <c r="AR114" s="68">
        <f t="shared" ref="AR114:AR118" si="336">TRUNC(AP114*$I114,2)</f>
        <v>0</v>
      </c>
      <c r="AS114" s="115"/>
      <c r="AT114" s="67">
        <f t="shared" si="231"/>
        <v>0</v>
      </c>
      <c r="AU114" s="68">
        <f t="shared" ref="AU114:AU118" si="337">TRUNC(AS114*$I114,2)</f>
        <v>0</v>
      </c>
      <c r="AW114" s="115"/>
      <c r="AX114" s="67">
        <f t="shared" si="233"/>
        <v>0</v>
      </c>
      <c r="AY114" s="68">
        <f t="shared" ref="AY114:AY118" si="338">TRUNC(AW114*$I114,2)</f>
        <v>0</v>
      </c>
      <c r="AZ114" s="115"/>
      <c r="BA114" s="67">
        <f t="shared" si="235"/>
        <v>0</v>
      </c>
      <c r="BB114" s="68">
        <f t="shared" ref="BB114:BB118" si="339">TRUNC(AZ114*$I114,2)</f>
        <v>0</v>
      </c>
      <c r="BD114" s="115">
        <f t="shared" ref="BD114" si="340">SUM(Q114,X114,AE114,AL114,AS114,AZ114)</f>
        <v>0</v>
      </c>
      <c r="BE114" s="67">
        <f t="shared" si="238"/>
        <v>0</v>
      </c>
      <c r="BF114" s="68">
        <f t="shared" ref="BF114" si="341">TRUNC(BD114*$I114,2)</f>
        <v>0</v>
      </c>
      <c r="BG114" s="133">
        <f t="shared" ref="BG114" si="342">$F114-BD114</f>
        <v>292.73</v>
      </c>
      <c r="BH114" s="67">
        <f t="shared" si="241"/>
        <v>3.2653390079161362E-2</v>
      </c>
      <c r="BI114" s="68">
        <f t="shared" ref="BI114" si="343">TRUNC(BG114*$I114,2)</f>
        <v>105016.88</v>
      </c>
      <c r="BJ114" s="117"/>
      <c r="BL114" s="92"/>
    </row>
    <row r="115" spans="1:64" ht="76.5" x14ac:dyDescent="0.25">
      <c r="A115" s="100" t="str">
        <f>'01 - Orçamento Sintético'!A115</f>
        <v xml:space="preserve"> 3.2.5.2 </v>
      </c>
      <c r="B115" s="101" t="str">
        <f>'01 - Orçamento Sintético'!B115</f>
        <v xml:space="preserve"> 4653 </v>
      </c>
      <c r="C115" s="100" t="str">
        <f>'01 - Orçamento Sintético'!C115</f>
        <v>ORSE</v>
      </c>
      <c r="D115" s="100" t="str">
        <f>'01 - Orçamento Sintético'!D115</f>
        <v>Pintura de proteção ou acabamento com 02 demão de fundo selante à base de resina epóxi - REVRAN TLS - RENNER ou similar</v>
      </c>
      <c r="E115" s="94" t="str">
        <f>'01 - Orçamento Sintético'!E115</f>
        <v>m²</v>
      </c>
      <c r="F115" s="94">
        <f>'01 - Orçamento Sintético'!F115</f>
        <v>292.73</v>
      </c>
      <c r="G115" s="68">
        <f>INDEX('01 - Orçamento Sintético'!$A$6:$AB$125,MATCH('02 - Planilha de Medição'!$A115,'01 - Orçamento Sintético'!$A$6:$A$125,0),23)</f>
        <v>17.920000000000002</v>
      </c>
      <c r="H115" s="68">
        <f>INDEX('01 - Orçamento Sintético'!$A$6:$AB$125,MATCH('02 - Planilha de Medição'!$A115,'01 - Orçamento Sintético'!$A$6:$A$125,0),24)</f>
        <v>19.369999999999997</v>
      </c>
      <c r="I115" s="68">
        <f>INDEX('01 - Orçamento Sintético'!$A$6:$AB$125,MATCH('02 - Planilha de Medição'!$A115,'01 - Orçamento Sintético'!$A$6:$A$125,0),25)</f>
        <v>37.29</v>
      </c>
      <c r="J115" s="68">
        <f>INDEX('01 - Orçamento Sintético'!$A$6:$AB$125,MATCH('02 - Planilha de Medição'!$A115,'01 - Orçamento Sintético'!$A$6:$A$125,0),26)</f>
        <v>5245.72</v>
      </c>
      <c r="K115" s="68">
        <f>INDEX('01 - Orçamento Sintético'!$A$6:$AB$125,MATCH('02 - Planilha de Medição'!$A115,'01 - Orçamento Sintético'!$A$6:$A$125,0),27)</f>
        <v>5670.1799999999994</v>
      </c>
      <c r="L115" s="68">
        <f>INDEX('01 - Orçamento Sintético'!$A$6:$AB$125,MATCH('02 - Planilha de Medição'!$A115,'01 - Orçamento Sintético'!$A$6:$A$125,0),28)</f>
        <v>10915.9</v>
      </c>
      <c r="N115" s="115"/>
      <c r="O115" s="67">
        <f t="shared" si="243"/>
        <v>0</v>
      </c>
      <c r="P115" s="68">
        <f t="shared" ref="P115:P118" si="344">TRUNC(N115*$I115,2)</f>
        <v>0</v>
      </c>
      <c r="Q115" s="115"/>
      <c r="R115" s="67">
        <f t="shared" si="214"/>
        <v>0</v>
      </c>
      <c r="S115" s="68">
        <f t="shared" ref="S115:S118" si="345">TRUNC(Q115*$I115,2)</f>
        <v>0</v>
      </c>
      <c r="U115" s="115">
        <f>F115</f>
        <v>292.73</v>
      </c>
      <c r="V115" s="67">
        <f t="shared" si="216"/>
        <v>3.3941318839896739E-3</v>
      </c>
      <c r="W115" s="68">
        <f t="shared" si="330"/>
        <v>10915.9</v>
      </c>
      <c r="X115" s="115"/>
      <c r="Y115" s="67">
        <f t="shared" si="218"/>
        <v>0</v>
      </c>
      <c r="Z115" s="68">
        <f t="shared" si="331"/>
        <v>0</v>
      </c>
      <c r="AB115" s="115"/>
      <c r="AC115" s="67">
        <f t="shared" si="220"/>
        <v>0</v>
      </c>
      <c r="AD115" s="68">
        <f t="shared" si="332"/>
        <v>0</v>
      </c>
      <c r="AE115" s="115"/>
      <c r="AF115" s="67">
        <f t="shared" si="222"/>
        <v>0</v>
      </c>
      <c r="AG115" s="68">
        <f t="shared" si="333"/>
        <v>0</v>
      </c>
      <c r="AI115" s="115"/>
      <c r="AJ115" s="67">
        <f t="shared" si="224"/>
        <v>0</v>
      </c>
      <c r="AK115" s="68">
        <f t="shared" si="334"/>
        <v>0</v>
      </c>
      <c r="AL115" s="115"/>
      <c r="AM115" s="67">
        <f t="shared" si="226"/>
        <v>0</v>
      </c>
      <c r="AN115" s="68">
        <f t="shared" si="335"/>
        <v>0</v>
      </c>
      <c r="AP115" s="115"/>
      <c r="AQ115" s="67">
        <f t="shared" si="229"/>
        <v>0</v>
      </c>
      <c r="AR115" s="68">
        <f t="shared" si="336"/>
        <v>0</v>
      </c>
      <c r="AS115" s="115"/>
      <c r="AT115" s="67">
        <f t="shared" si="231"/>
        <v>0</v>
      </c>
      <c r="AU115" s="68">
        <f t="shared" si="337"/>
        <v>0</v>
      </c>
      <c r="AW115" s="115"/>
      <c r="AX115" s="67">
        <f t="shared" si="233"/>
        <v>0</v>
      </c>
      <c r="AY115" s="68">
        <f t="shared" si="338"/>
        <v>0</v>
      </c>
      <c r="AZ115" s="115"/>
      <c r="BA115" s="67">
        <f t="shared" si="235"/>
        <v>0</v>
      </c>
      <c r="BB115" s="68">
        <f t="shared" si="339"/>
        <v>0</v>
      </c>
      <c r="BD115" s="115">
        <f t="shared" ref="BD115:BD118" si="346">SUM(Q115,X115,AE115,AL115,AS115,AZ115)</f>
        <v>0</v>
      </c>
      <c r="BE115" s="67">
        <f t="shared" si="238"/>
        <v>0</v>
      </c>
      <c r="BF115" s="68">
        <f t="shared" ref="BF115:BF118" si="347">TRUNC(BD115*$I115,2)</f>
        <v>0</v>
      </c>
      <c r="BG115" s="133">
        <f t="shared" ref="BG115:BG118" si="348">$F115-BD115</f>
        <v>292.73</v>
      </c>
      <c r="BH115" s="67">
        <f t="shared" si="241"/>
        <v>3.3941318839896739E-3</v>
      </c>
      <c r="BI115" s="68">
        <f t="shared" ref="BI115:BI118" si="349">TRUNC(BG115*$I115,2)</f>
        <v>10915.9</v>
      </c>
      <c r="BJ115" s="117"/>
      <c r="BL115" s="92"/>
    </row>
    <row r="116" spans="1:64" ht="127.5" x14ac:dyDescent="0.25">
      <c r="A116" s="100" t="str">
        <f>'01 - Orçamento Sintético'!A116</f>
        <v xml:space="preserve"> 3.2.5.3 </v>
      </c>
      <c r="B116" s="101" t="str">
        <f>'01 - Orçamento Sintético'!B116</f>
        <v xml:space="preserve"> 5056 </v>
      </c>
      <c r="C116" s="100" t="str">
        <f>'01 - Orçamento Sintético'!C116</f>
        <v>ORSE</v>
      </c>
      <c r="D116" s="100" t="str">
        <f>'01 - Orçamento Sintético'!D116</f>
        <v>Pintura de proteção sobre superfícies metálicas com aplicação de 02 demãos detinta epoximastic de alumínio modificado, bicomponente, SUMASTIC 228 AR, da Sherwin Williams - Sumaré ou similar - R1</v>
      </c>
      <c r="E116" s="94" t="str">
        <f>'01 - Orçamento Sintético'!E116</f>
        <v>m²</v>
      </c>
      <c r="F116" s="94">
        <f>'01 - Orçamento Sintético'!F116</f>
        <v>292.73</v>
      </c>
      <c r="G116" s="68">
        <f>INDEX('01 - Orçamento Sintético'!$A$6:$AB$125,MATCH('02 - Planilha de Medição'!$A116,'01 - Orçamento Sintético'!$A$6:$A$125,0),23)</f>
        <v>26.89</v>
      </c>
      <c r="H116" s="68">
        <f>INDEX('01 - Orçamento Sintético'!$A$6:$AB$125,MATCH('02 - Planilha de Medição'!$A116,'01 - Orçamento Sintético'!$A$6:$A$125,0),24)</f>
        <v>54.239999999999995</v>
      </c>
      <c r="I116" s="68">
        <f>INDEX('01 - Orçamento Sintético'!$A$6:$AB$125,MATCH('02 - Planilha de Medição'!$A116,'01 - Orçamento Sintético'!$A$6:$A$125,0),25)</f>
        <v>81.13</v>
      </c>
      <c r="J116" s="68">
        <f>INDEX('01 - Orçamento Sintético'!$A$6:$AB$125,MATCH('02 - Planilha de Medição'!$A116,'01 - Orçamento Sintético'!$A$6:$A$125,0),26)</f>
        <v>7871.5</v>
      </c>
      <c r="K116" s="68">
        <f>INDEX('01 - Orçamento Sintético'!$A$6:$AB$125,MATCH('02 - Planilha de Medição'!$A116,'01 - Orçamento Sintético'!$A$6:$A$125,0),27)</f>
        <v>15877.68</v>
      </c>
      <c r="L116" s="68">
        <f>INDEX('01 - Orçamento Sintético'!$A$6:$AB$125,MATCH('02 - Planilha de Medição'!$A116,'01 - Orçamento Sintético'!$A$6:$A$125,0),28)</f>
        <v>23749.18</v>
      </c>
      <c r="N116" s="115"/>
      <c r="O116" s="67">
        <f t="shared" si="243"/>
        <v>0</v>
      </c>
      <c r="P116" s="68">
        <f t="shared" si="344"/>
        <v>0</v>
      </c>
      <c r="Q116" s="115"/>
      <c r="R116" s="67">
        <f t="shared" si="214"/>
        <v>0</v>
      </c>
      <c r="S116" s="68">
        <f t="shared" si="345"/>
        <v>0</v>
      </c>
      <c r="U116" s="115">
        <f>F116</f>
        <v>292.73</v>
      </c>
      <c r="V116" s="67">
        <f t="shared" si="216"/>
        <v>7.3844437065757182E-3</v>
      </c>
      <c r="W116" s="68">
        <f t="shared" si="330"/>
        <v>23749.18</v>
      </c>
      <c r="X116" s="115"/>
      <c r="Y116" s="67">
        <f t="shared" si="218"/>
        <v>0</v>
      </c>
      <c r="Z116" s="68">
        <f t="shared" si="331"/>
        <v>0</v>
      </c>
      <c r="AB116" s="115"/>
      <c r="AC116" s="67">
        <f t="shared" si="220"/>
        <v>0</v>
      </c>
      <c r="AD116" s="68">
        <f t="shared" si="332"/>
        <v>0</v>
      </c>
      <c r="AE116" s="115"/>
      <c r="AF116" s="67">
        <f t="shared" si="222"/>
        <v>0</v>
      </c>
      <c r="AG116" s="68">
        <f t="shared" si="333"/>
        <v>0</v>
      </c>
      <c r="AI116" s="115"/>
      <c r="AJ116" s="67">
        <f t="shared" si="224"/>
        <v>0</v>
      </c>
      <c r="AK116" s="68">
        <f t="shared" si="334"/>
        <v>0</v>
      </c>
      <c r="AL116" s="115"/>
      <c r="AM116" s="67">
        <f t="shared" si="226"/>
        <v>0</v>
      </c>
      <c r="AN116" s="68">
        <f t="shared" si="335"/>
        <v>0</v>
      </c>
      <c r="AP116" s="115"/>
      <c r="AQ116" s="67">
        <f t="shared" si="229"/>
        <v>0</v>
      </c>
      <c r="AR116" s="68">
        <f t="shared" si="336"/>
        <v>0</v>
      </c>
      <c r="AS116" s="115"/>
      <c r="AT116" s="67">
        <f t="shared" si="231"/>
        <v>0</v>
      </c>
      <c r="AU116" s="68">
        <f t="shared" si="337"/>
        <v>0</v>
      </c>
      <c r="AW116" s="115"/>
      <c r="AX116" s="67">
        <f t="shared" si="233"/>
        <v>0</v>
      </c>
      <c r="AY116" s="68">
        <f t="shared" si="338"/>
        <v>0</v>
      </c>
      <c r="AZ116" s="115"/>
      <c r="BA116" s="67">
        <f t="shared" si="235"/>
        <v>0</v>
      </c>
      <c r="BB116" s="68">
        <f t="shared" si="339"/>
        <v>0</v>
      </c>
      <c r="BD116" s="115">
        <f t="shared" si="346"/>
        <v>0</v>
      </c>
      <c r="BE116" s="67">
        <f t="shared" si="238"/>
        <v>0</v>
      </c>
      <c r="BF116" s="68">
        <f t="shared" si="347"/>
        <v>0</v>
      </c>
      <c r="BG116" s="133">
        <f t="shared" si="348"/>
        <v>292.73</v>
      </c>
      <c r="BH116" s="67">
        <f t="shared" si="241"/>
        <v>7.3844437065757182E-3</v>
      </c>
      <c r="BI116" s="68">
        <f t="shared" si="349"/>
        <v>23749.18</v>
      </c>
      <c r="BJ116" s="117"/>
      <c r="BL116" s="92"/>
    </row>
    <row r="117" spans="1:64" ht="114.75" x14ac:dyDescent="0.25">
      <c r="A117" s="100" t="str">
        <f>'01 - Orçamento Sintético'!A117</f>
        <v xml:space="preserve"> 3.2.5.4 </v>
      </c>
      <c r="B117" s="101" t="str">
        <f>'01 - Orçamento Sintético'!B117</f>
        <v xml:space="preserve"> 98547 </v>
      </c>
      <c r="C117" s="100" t="str">
        <f>'01 - Orçamento Sintético'!C117</f>
        <v>SINAPI</v>
      </c>
      <c r="D117" s="100" t="str">
        <f>'01 - Orçamento Sintético'!D117</f>
        <v>IMPERMEABILIZAÇÃO DE SUPERFÍCIE COM MANTA ASFÁLTICA, DUAS CAMADAS, INCLUSIVE APLICAÇÃO DE PRIMER ASFÁLTICO, E=3MM E E=4MM. AF_09/2023</v>
      </c>
      <c r="E117" s="94" t="str">
        <f>'01 - Orçamento Sintético'!E117</f>
        <v>m²</v>
      </c>
      <c r="F117" s="94">
        <f>'01 - Orçamento Sintético'!F117</f>
        <v>199.4</v>
      </c>
      <c r="G117" s="68">
        <f>INDEX('01 - Orçamento Sintético'!$A$6:$AB$125,MATCH('02 - Planilha de Medição'!$A117,'01 - Orçamento Sintético'!$A$6:$A$125,0),23)</f>
        <v>57.72</v>
      </c>
      <c r="H117" s="68">
        <f>INDEX('01 - Orçamento Sintético'!$A$6:$AB$125,MATCH('02 - Planilha de Medição'!$A117,'01 - Orçamento Sintético'!$A$6:$A$125,0),24)</f>
        <v>222.67</v>
      </c>
      <c r="I117" s="68">
        <f>INDEX('01 - Orçamento Sintético'!$A$6:$AB$125,MATCH('02 - Planilha de Medição'!$A117,'01 - Orçamento Sintético'!$A$6:$A$125,0),25)</f>
        <v>280.39</v>
      </c>
      <c r="J117" s="68">
        <f>INDEX('01 - Orçamento Sintético'!$A$6:$AB$125,MATCH('02 - Planilha de Medição'!$A117,'01 - Orçamento Sintético'!$A$6:$A$125,0),26)</f>
        <v>11509.36</v>
      </c>
      <c r="K117" s="68">
        <f>INDEX('01 - Orçamento Sintético'!$A$6:$AB$125,MATCH('02 - Planilha de Medição'!$A117,'01 - Orçamento Sintético'!$A$6:$A$125,0),27)</f>
        <v>44400.4</v>
      </c>
      <c r="L117" s="68">
        <f>INDEX('01 - Orçamento Sintético'!$A$6:$AB$125,MATCH('02 - Planilha de Medição'!$A117,'01 - Orçamento Sintético'!$A$6:$A$125,0),28)</f>
        <v>55909.760000000002</v>
      </c>
      <c r="N117" s="115"/>
      <c r="O117" s="67">
        <f t="shared" si="243"/>
        <v>0</v>
      </c>
      <c r="P117" s="68">
        <f t="shared" si="344"/>
        <v>0</v>
      </c>
      <c r="Q117" s="115"/>
      <c r="R117" s="67">
        <f t="shared" si="214"/>
        <v>0</v>
      </c>
      <c r="S117" s="68">
        <f t="shared" si="345"/>
        <v>0</v>
      </c>
      <c r="U117" s="115">
        <f>F117</f>
        <v>199.4</v>
      </c>
      <c r="V117" s="67">
        <f t="shared" si="216"/>
        <v>1.7384283388654213E-2</v>
      </c>
      <c r="W117" s="68">
        <f t="shared" si="330"/>
        <v>55909.760000000002</v>
      </c>
      <c r="X117" s="115"/>
      <c r="Y117" s="67">
        <f t="shared" si="218"/>
        <v>0</v>
      </c>
      <c r="Z117" s="68">
        <f t="shared" si="331"/>
        <v>0</v>
      </c>
      <c r="AB117" s="115"/>
      <c r="AC117" s="67">
        <f t="shared" si="220"/>
        <v>0</v>
      </c>
      <c r="AD117" s="68">
        <f t="shared" si="332"/>
        <v>0</v>
      </c>
      <c r="AE117" s="115"/>
      <c r="AF117" s="67">
        <f t="shared" si="222"/>
        <v>0</v>
      </c>
      <c r="AG117" s="68">
        <f t="shared" si="333"/>
        <v>0</v>
      </c>
      <c r="AI117" s="115"/>
      <c r="AJ117" s="67">
        <f t="shared" si="224"/>
        <v>0</v>
      </c>
      <c r="AK117" s="68">
        <f t="shared" si="334"/>
        <v>0</v>
      </c>
      <c r="AL117" s="115"/>
      <c r="AM117" s="67">
        <f t="shared" si="226"/>
        <v>0</v>
      </c>
      <c r="AN117" s="68">
        <f t="shared" si="335"/>
        <v>0</v>
      </c>
      <c r="AP117" s="115"/>
      <c r="AQ117" s="67">
        <f t="shared" si="229"/>
        <v>0</v>
      </c>
      <c r="AR117" s="68">
        <f t="shared" si="336"/>
        <v>0</v>
      </c>
      <c r="AS117" s="115"/>
      <c r="AT117" s="67">
        <f t="shared" si="231"/>
        <v>0</v>
      </c>
      <c r="AU117" s="68">
        <f t="shared" si="337"/>
        <v>0</v>
      </c>
      <c r="AW117" s="115"/>
      <c r="AX117" s="67">
        <f t="shared" si="233"/>
        <v>0</v>
      </c>
      <c r="AY117" s="68">
        <f t="shared" si="338"/>
        <v>0</v>
      </c>
      <c r="AZ117" s="115"/>
      <c r="BA117" s="67">
        <f t="shared" si="235"/>
        <v>0</v>
      </c>
      <c r="BB117" s="68">
        <f t="shared" si="339"/>
        <v>0</v>
      </c>
      <c r="BD117" s="115">
        <f t="shared" si="346"/>
        <v>0</v>
      </c>
      <c r="BE117" s="67">
        <f t="shared" si="238"/>
        <v>0</v>
      </c>
      <c r="BF117" s="68">
        <f t="shared" si="347"/>
        <v>0</v>
      </c>
      <c r="BG117" s="133">
        <f t="shared" si="348"/>
        <v>199.4</v>
      </c>
      <c r="BH117" s="67">
        <f t="shared" si="241"/>
        <v>1.7384283388654213E-2</v>
      </c>
      <c r="BI117" s="68">
        <f t="shared" si="349"/>
        <v>55909.760000000002</v>
      </c>
      <c r="BJ117" s="117"/>
      <c r="BL117" s="92"/>
    </row>
    <row r="118" spans="1:64" ht="76.5" x14ac:dyDescent="0.25">
      <c r="A118" s="100" t="str">
        <f>'01 - Orçamento Sintético'!A118</f>
        <v xml:space="preserve"> 3.2.5.5 </v>
      </c>
      <c r="B118" s="101" t="str">
        <f>'01 - Orçamento Sintético'!B118</f>
        <v xml:space="preserve"> 102707 </v>
      </c>
      <c r="C118" s="100" t="str">
        <f>'01 - Orçamento Sintético'!C118</f>
        <v>SINAPI</v>
      </c>
      <c r="D118" s="100" t="str">
        <f>'01 - Orçamento Sintético'!D118</f>
        <v>TUBO DE CONCRETO SIMPLES POROSO, DN 200 MM, PARA DRENO - FORNECIMENTO E ASSENTAMENTO. AF_07/2021</v>
      </c>
      <c r="E118" s="94" t="str">
        <f>'01 - Orçamento Sintético'!E118</f>
        <v>M</v>
      </c>
      <c r="F118" s="94">
        <f>'01 - Orçamento Sintético'!F118</f>
        <v>0.8</v>
      </c>
      <c r="G118" s="68">
        <f>INDEX('01 - Orçamento Sintético'!$A$6:$AB$125,MATCH('02 - Planilha de Medição'!$A118,'01 - Orçamento Sintético'!$A$6:$A$125,0),23)</f>
        <v>5.77</v>
      </c>
      <c r="H118" s="68">
        <f>INDEX('01 - Orçamento Sintético'!$A$6:$AB$125,MATCH('02 - Planilha de Medição'!$A118,'01 - Orçamento Sintético'!$A$6:$A$125,0),24)</f>
        <v>27.23</v>
      </c>
      <c r="I118" s="68">
        <f>INDEX('01 - Orçamento Sintético'!$A$6:$AB$125,MATCH('02 - Planilha de Medição'!$A118,'01 - Orçamento Sintético'!$A$6:$A$125,0),25)</f>
        <v>33</v>
      </c>
      <c r="J118" s="68">
        <f>INDEX('01 - Orçamento Sintético'!$A$6:$AB$125,MATCH('02 - Planilha de Medição'!$A118,'01 - Orçamento Sintético'!$A$6:$A$125,0),26)</f>
        <v>4.6100000000000003</v>
      </c>
      <c r="K118" s="68">
        <f>INDEX('01 - Orçamento Sintético'!$A$6:$AB$125,MATCH('02 - Planilha de Medição'!$A118,'01 - Orçamento Sintético'!$A$6:$A$125,0),27)</f>
        <v>21.79</v>
      </c>
      <c r="L118" s="68">
        <f>INDEX('01 - Orçamento Sintético'!$A$6:$AB$125,MATCH('02 - Planilha de Medição'!$A118,'01 - Orçamento Sintético'!$A$6:$A$125,0),28)</f>
        <v>26.4</v>
      </c>
      <c r="N118" s="115"/>
      <c r="O118" s="67">
        <f t="shared" si="243"/>
        <v>0</v>
      </c>
      <c r="P118" s="68">
        <f t="shared" si="344"/>
        <v>0</v>
      </c>
      <c r="Q118" s="115"/>
      <c r="R118" s="67">
        <f t="shared" si="214"/>
        <v>0</v>
      </c>
      <c r="S118" s="68">
        <f t="shared" si="345"/>
        <v>0</v>
      </c>
      <c r="U118" s="115">
        <f>F118</f>
        <v>0.8</v>
      </c>
      <c r="V118" s="67">
        <f t="shared" si="216"/>
        <v>8.2086755775820036E-6</v>
      </c>
      <c r="W118" s="68">
        <f t="shared" si="330"/>
        <v>26.4</v>
      </c>
      <c r="X118" s="115"/>
      <c r="Y118" s="67">
        <f t="shared" si="218"/>
        <v>0</v>
      </c>
      <c r="Z118" s="68">
        <f t="shared" si="331"/>
        <v>0</v>
      </c>
      <c r="AB118" s="115"/>
      <c r="AC118" s="67">
        <f t="shared" si="220"/>
        <v>0</v>
      </c>
      <c r="AD118" s="68">
        <f t="shared" si="332"/>
        <v>0</v>
      </c>
      <c r="AE118" s="115"/>
      <c r="AF118" s="67">
        <f t="shared" si="222"/>
        <v>0</v>
      </c>
      <c r="AG118" s="68">
        <f t="shared" si="333"/>
        <v>0</v>
      </c>
      <c r="AI118" s="115"/>
      <c r="AJ118" s="67">
        <f t="shared" si="224"/>
        <v>0</v>
      </c>
      <c r="AK118" s="68">
        <f t="shared" si="334"/>
        <v>0</v>
      </c>
      <c r="AL118" s="115"/>
      <c r="AM118" s="67">
        <f t="shared" si="226"/>
        <v>0</v>
      </c>
      <c r="AN118" s="68">
        <f t="shared" si="335"/>
        <v>0</v>
      </c>
      <c r="AP118" s="115"/>
      <c r="AQ118" s="67">
        <f t="shared" si="229"/>
        <v>0</v>
      </c>
      <c r="AR118" s="68">
        <f t="shared" si="336"/>
        <v>0</v>
      </c>
      <c r="AS118" s="115"/>
      <c r="AT118" s="67">
        <f t="shared" si="231"/>
        <v>0</v>
      </c>
      <c r="AU118" s="68">
        <f t="shared" si="337"/>
        <v>0</v>
      </c>
      <c r="AW118" s="115"/>
      <c r="AX118" s="67">
        <f t="shared" si="233"/>
        <v>0</v>
      </c>
      <c r="AY118" s="68">
        <f t="shared" si="338"/>
        <v>0</v>
      </c>
      <c r="AZ118" s="115"/>
      <c r="BA118" s="67">
        <f t="shared" si="235"/>
        <v>0</v>
      </c>
      <c r="BB118" s="68">
        <f t="shared" si="339"/>
        <v>0</v>
      </c>
      <c r="BD118" s="115">
        <f t="shared" si="346"/>
        <v>0</v>
      </c>
      <c r="BE118" s="67">
        <f t="shared" si="238"/>
        <v>0</v>
      </c>
      <c r="BF118" s="68">
        <f t="shared" si="347"/>
        <v>0</v>
      </c>
      <c r="BG118" s="133">
        <f t="shared" si="348"/>
        <v>0.8</v>
      </c>
      <c r="BH118" s="67">
        <f t="shared" si="241"/>
        <v>8.2086755775820036E-6</v>
      </c>
      <c r="BI118" s="68">
        <f t="shared" si="349"/>
        <v>26.4</v>
      </c>
      <c r="BJ118" s="117"/>
      <c r="BL118" s="92"/>
    </row>
    <row r="119" spans="1:64" x14ac:dyDescent="0.25">
      <c r="A119" s="99" t="str">
        <f>'01 - Orçamento Sintético'!A119</f>
        <v xml:space="preserve"> 3.3 </v>
      </c>
      <c r="B119" s="99"/>
      <c r="C119" s="99"/>
      <c r="D119" s="99" t="str">
        <f>'01 - Orçamento Sintético'!D119</f>
        <v>Elétrica</v>
      </c>
      <c r="E119" s="99"/>
      <c r="F119" s="93"/>
      <c r="G119" s="69"/>
      <c r="H119" s="69"/>
      <c r="I119" s="69"/>
      <c r="J119" s="69"/>
      <c r="K119" s="69"/>
      <c r="L119" s="70">
        <f>INDEX('01 - Orçamento Sintético'!$A$6:$AB$125,MATCH('02 - Planilha de Medição'!$A119,'01 - Orçamento Sintético'!$A$6:$A$125,0),28)</f>
        <v>1200.8800000000001</v>
      </c>
      <c r="N119" s="116"/>
      <c r="O119" s="120">
        <f t="shared" si="243"/>
        <v>0</v>
      </c>
      <c r="P119" s="70">
        <f>SUM(P120:P121)</f>
        <v>0</v>
      </c>
      <c r="Q119" s="116"/>
      <c r="R119" s="120">
        <f t="shared" si="214"/>
        <v>0</v>
      </c>
      <c r="S119" s="70">
        <f>SUM(S120:S121)</f>
        <v>0</v>
      </c>
      <c r="U119" s="116"/>
      <c r="V119" s="120">
        <f t="shared" si="216"/>
        <v>0</v>
      </c>
      <c r="W119" s="70">
        <f>SUM(W120:W121)</f>
        <v>0</v>
      </c>
      <c r="X119" s="116"/>
      <c r="Y119" s="120">
        <f t="shared" si="218"/>
        <v>0</v>
      </c>
      <c r="Z119" s="70">
        <f>SUM(Z120:Z121)</f>
        <v>0</v>
      </c>
      <c r="AB119" s="116"/>
      <c r="AC119" s="120">
        <f t="shared" si="220"/>
        <v>0</v>
      </c>
      <c r="AD119" s="70">
        <f>SUM(AD120:AD121)</f>
        <v>0</v>
      </c>
      <c r="AE119" s="116"/>
      <c r="AF119" s="120">
        <f t="shared" si="222"/>
        <v>0</v>
      </c>
      <c r="AG119" s="70">
        <f>SUM(AG120:AG121)</f>
        <v>0</v>
      </c>
      <c r="AI119" s="116"/>
      <c r="AJ119" s="120">
        <f t="shared" si="224"/>
        <v>0</v>
      </c>
      <c r="AK119" s="70">
        <f>SUM(AK120:AK121)</f>
        <v>0</v>
      </c>
      <c r="AL119" s="116"/>
      <c r="AM119" s="120">
        <f t="shared" si="226"/>
        <v>0</v>
      </c>
      <c r="AN119" s="70">
        <f>SUM(AN120:AN121)</f>
        <v>0</v>
      </c>
      <c r="AP119" s="116"/>
      <c r="AQ119" s="120">
        <f t="shared" si="229"/>
        <v>0</v>
      </c>
      <c r="AR119" s="70">
        <f>SUM(AR120:AR121)</f>
        <v>0</v>
      </c>
      <c r="AS119" s="116"/>
      <c r="AT119" s="120">
        <f t="shared" si="231"/>
        <v>0</v>
      </c>
      <c r="AU119" s="70">
        <f>SUM(AU120:AU121)</f>
        <v>0</v>
      </c>
      <c r="AW119" s="116"/>
      <c r="AX119" s="120">
        <f t="shared" si="233"/>
        <v>3.7339523968207112E-4</v>
      </c>
      <c r="AY119" s="70">
        <f>SUM(AY120:AY121)</f>
        <v>1200.8800000000001</v>
      </c>
      <c r="AZ119" s="116"/>
      <c r="BA119" s="120">
        <f t="shared" si="235"/>
        <v>0</v>
      </c>
      <c r="BB119" s="70">
        <f>SUM(BB120:BB121)</f>
        <v>0</v>
      </c>
      <c r="BD119" s="116"/>
      <c r="BE119" s="120">
        <f t="shared" si="238"/>
        <v>0</v>
      </c>
      <c r="BF119" s="70">
        <f>SUM(BF120:BF121)</f>
        <v>0</v>
      </c>
      <c r="BG119" s="134"/>
      <c r="BH119" s="120">
        <f t="shared" si="241"/>
        <v>3.7339523968207112E-4</v>
      </c>
      <c r="BI119" s="70">
        <f>SUM(BI120:BI121)</f>
        <v>1200.8800000000001</v>
      </c>
      <c r="BJ119" s="117"/>
      <c r="BL119" s="92"/>
    </row>
    <row r="120" spans="1:64" ht="178.5" x14ac:dyDescent="0.25">
      <c r="A120" s="100" t="str">
        <f>'01 - Orçamento Sintético'!A120</f>
        <v xml:space="preserve"> 3.3.1 </v>
      </c>
      <c r="B120" s="101" t="str">
        <f>'01 - Orçamento Sintético'!B120</f>
        <v xml:space="preserve"> 104479 </v>
      </c>
      <c r="C120" s="100" t="str">
        <f>'01 - Orçamento Sintético'!C120</f>
        <v>SINAPI</v>
      </c>
      <c r="D120" s="100" t="str">
        <f>'01 - Orçamento Sintético'!D120</f>
        <v>COMPOSIÇÃO PARAMÉTRICA DE PONTO ELÉTRICO DE TOMADA DE USO GERAL 2P+T (10A/250V) EM EDIFÍCIO RESIDENCIAL COM ELETRODUTO EMBUTIDO SEM NECESSIDADE DE RASGOS, INCLUSO TOMADA, ELETRODUTO, CABO E QUEBRA. AF_11/2022</v>
      </c>
      <c r="E120" s="94" t="str">
        <f>'01 - Orçamento Sintético'!E120</f>
        <v>UN</v>
      </c>
      <c r="F120" s="94">
        <f>'01 - Orçamento Sintético'!F120</f>
        <v>6</v>
      </c>
      <c r="G120" s="68">
        <f>INDEX('01 - Orçamento Sintético'!$A$6:$AB$125,MATCH('02 - Planilha de Medição'!$A120,'01 - Orçamento Sintético'!$A$6:$A$125,0),23)</f>
        <v>78.02</v>
      </c>
      <c r="H120" s="68">
        <f>INDEX('01 - Orçamento Sintético'!$A$6:$AB$125,MATCH('02 - Planilha de Medição'!$A120,'01 - Orçamento Sintético'!$A$6:$A$125,0),24)</f>
        <v>105.98</v>
      </c>
      <c r="I120" s="68">
        <f>INDEX('01 - Orçamento Sintético'!$A$6:$AB$125,MATCH('02 - Planilha de Medição'!$A120,'01 - Orçamento Sintético'!$A$6:$A$125,0),25)</f>
        <v>184</v>
      </c>
      <c r="J120" s="68">
        <f>INDEX('01 - Orçamento Sintético'!$A$6:$AB$125,MATCH('02 - Planilha de Medição'!$A120,'01 - Orçamento Sintético'!$A$6:$A$125,0),26)</f>
        <v>468.12</v>
      </c>
      <c r="K120" s="68">
        <f>INDEX('01 - Orçamento Sintético'!$A$6:$AB$125,MATCH('02 - Planilha de Medição'!$A120,'01 - Orçamento Sintético'!$A$6:$A$125,0),27)</f>
        <v>635.88</v>
      </c>
      <c r="L120" s="68">
        <f>INDEX('01 - Orçamento Sintético'!$A$6:$AB$125,MATCH('02 - Planilha de Medição'!$A120,'01 - Orçamento Sintético'!$A$6:$A$125,0),28)</f>
        <v>1104</v>
      </c>
      <c r="N120" s="115"/>
      <c r="O120" s="67">
        <f t="shared" si="243"/>
        <v>0</v>
      </c>
      <c r="P120" s="68">
        <f t="shared" ref="P120:P121" si="350">TRUNC(N120*$I120,2)</f>
        <v>0</v>
      </c>
      <c r="Q120" s="115"/>
      <c r="R120" s="67">
        <f t="shared" si="214"/>
        <v>0</v>
      </c>
      <c r="S120" s="68">
        <f t="shared" ref="S120:S121" si="351">TRUNC(Q120*$I120,2)</f>
        <v>0</v>
      </c>
      <c r="U120" s="115"/>
      <c r="V120" s="67">
        <f t="shared" si="216"/>
        <v>0</v>
      </c>
      <c r="W120" s="68">
        <f t="shared" ref="W120:W121" si="352">TRUNC(U120*$I120,2)</f>
        <v>0</v>
      </c>
      <c r="X120" s="115"/>
      <c r="Y120" s="67">
        <f t="shared" si="218"/>
        <v>0</v>
      </c>
      <c r="Z120" s="68">
        <f t="shared" ref="Z120:Z121" si="353">TRUNC(X120*$I120,2)</f>
        <v>0</v>
      </c>
      <c r="AB120" s="115"/>
      <c r="AC120" s="67">
        <f t="shared" si="220"/>
        <v>0</v>
      </c>
      <c r="AD120" s="68">
        <f t="shared" ref="AD120:AD121" si="354">TRUNC(AB120*$I120,2)</f>
        <v>0</v>
      </c>
      <c r="AE120" s="115"/>
      <c r="AF120" s="67">
        <f t="shared" si="222"/>
        <v>0</v>
      </c>
      <c r="AG120" s="68">
        <f t="shared" ref="AG120:AG121" si="355">TRUNC(AE120*$I120,2)</f>
        <v>0</v>
      </c>
      <c r="AI120" s="115"/>
      <c r="AJ120" s="67">
        <f t="shared" si="224"/>
        <v>0</v>
      </c>
      <c r="AK120" s="68">
        <f t="shared" ref="AK120:AK121" si="356">TRUNC(AI120*$I120,2)</f>
        <v>0</v>
      </c>
      <c r="AL120" s="115"/>
      <c r="AM120" s="67">
        <f t="shared" si="226"/>
        <v>0</v>
      </c>
      <c r="AN120" s="68">
        <f t="shared" ref="AN120:AN121" si="357">TRUNC(AL120*$I120,2)</f>
        <v>0</v>
      </c>
      <c r="AP120" s="115"/>
      <c r="AQ120" s="67">
        <f t="shared" si="229"/>
        <v>0</v>
      </c>
      <c r="AR120" s="68">
        <f t="shared" ref="AR120:AR121" si="358">TRUNC(AP120*$I120,2)</f>
        <v>0</v>
      </c>
      <c r="AS120" s="115"/>
      <c r="AT120" s="67">
        <f t="shared" si="231"/>
        <v>0</v>
      </c>
      <c r="AU120" s="68">
        <f t="shared" ref="AU120:AU121" si="359">TRUNC(AS120*$I120,2)</f>
        <v>0</v>
      </c>
      <c r="AW120" s="115">
        <f>F120</f>
        <v>6</v>
      </c>
      <c r="AX120" s="67">
        <f t="shared" si="233"/>
        <v>3.4327188778979288E-4</v>
      </c>
      <c r="AY120" s="68">
        <f t="shared" ref="AY120:AY121" si="360">TRUNC(AW120*$I120,2)</f>
        <v>1104</v>
      </c>
      <c r="AZ120" s="115"/>
      <c r="BA120" s="67">
        <f t="shared" si="235"/>
        <v>0</v>
      </c>
      <c r="BB120" s="68">
        <f t="shared" ref="BB120:BB121" si="361">TRUNC(AZ120*$I120,2)</f>
        <v>0</v>
      </c>
      <c r="BD120" s="115">
        <f t="shared" ref="BD120:BD121" si="362">SUM(Q120,X120,AE120,AL120,AS120,AZ120)</f>
        <v>0</v>
      </c>
      <c r="BE120" s="67">
        <f t="shared" si="238"/>
        <v>0</v>
      </c>
      <c r="BF120" s="68">
        <f t="shared" ref="BF120:BF121" si="363">TRUNC(BD120*$I120,2)</f>
        <v>0</v>
      </c>
      <c r="BG120" s="133">
        <f t="shared" ref="BG120:BG121" si="364">$F120-BD120</f>
        <v>6</v>
      </c>
      <c r="BH120" s="67">
        <f t="shared" si="241"/>
        <v>3.4327188778979288E-4</v>
      </c>
      <c r="BI120" s="68">
        <f t="shared" ref="BI120:BI121" si="365">TRUNC(BG120*$I120,2)</f>
        <v>1104</v>
      </c>
      <c r="BJ120" s="117"/>
      <c r="BL120" s="92"/>
    </row>
    <row r="121" spans="1:64" ht="25.5" x14ac:dyDescent="0.25">
      <c r="A121" s="100" t="str">
        <f>'01 - Orçamento Sintético'!A121</f>
        <v xml:space="preserve"> 3.3.2 </v>
      </c>
      <c r="B121" s="101" t="str">
        <f>'01 - Orçamento Sintético'!B121</f>
        <v xml:space="preserve"> 11418 </v>
      </c>
      <c r="C121" s="100" t="str">
        <f>'01 - Orçamento Sintético'!C121</f>
        <v>ORSE</v>
      </c>
      <c r="D121" s="100" t="str">
        <f>'01 - Orçamento Sintético'!D121</f>
        <v>Tomada para lógica, rj45, com placa</v>
      </c>
      <c r="E121" s="94" t="str">
        <f>'01 - Orçamento Sintético'!E121</f>
        <v>un</v>
      </c>
      <c r="F121" s="94">
        <f>'01 - Orçamento Sintético'!F121</f>
        <v>2</v>
      </c>
      <c r="G121" s="68">
        <f>INDEX('01 - Orçamento Sintético'!$A$6:$AB$125,MATCH('02 - Planilha de Medição'!$A121,'01 - Orçamento Sintético'!$A$6:$A$125,0),23)</f>
        <v>11.45</v>
      </c>
      <c r="H121" s="68">
        <f>INDEX('01 - Orçamento Sintético'!$A$6:$AB$125,MATCH('02 - Planilha de Medição'!$A121,'01 - Orçamento Sintético'!$A$6:$A$125,0),24)</f>
        <v>36.989999999999995</v>
      </c>
      <c r="I121" s="68">
        <f>INDEX('01 - Orçamento Sintético'!$A$6:$AB$125,MATCH('02 - Planilha de Medição'!$A121,'01 - Orçamento Sintético'!$A$6:$A$125,0),25)</f>
        <v>48.44</v>
      </c>
      <c r="J121" s="68">
        <f>INDEX('01 - Orçamento Sintético'!$A$6:$AB$125,MATCH('02 - Planilha de Medição'!$A121,'01 - Orçamento Sintético'!$A$6:$A$125,0),26)</f>
        <v>22.9</v>
      </c>
      <c r="K121" s="68">
        <f>INDEX('01 - Orçamento Sintético'!$A$6:$AB$125,MATCH('02 - Planilha de Medição'!$A121,'01 - Orçamento Sintético'!$A$6:$A$125,0),27)</f>
        <v>73.97999999999999</v>
      </c>
      <c r="L121" s="68">
        <f>INDEX('01 - Orçamento Sintético'!$A$6:$AB$125,MATCH('02 - Planilha de Medição'!$A121,'01 - Orçamento Sintético'!$A$6:$A$125,0),28)</f>
        <v>96.88</v>
      </c>
      <c r="N121" s="115"/>
      <c r="O121" s="67">
        <f t="shared" si="243"/>
        <v>0</v>
      </c>
      <c r="P121" s="68">
        <f t="shared" si="350"/>
        <v>0</v>
      </c>
      <c r="Q121" s="115"/>
      <c r="R121" s="67">
        <f t="shared" si="214"/>
        <v>0</v>
      </c>
      <c r="S121" s="68">
        <f t="shared" si="351"/>
        <v>0</v>
      </c>
      <c r="U121" s="115"/>
      <c r="V121" s="67">
        <f t="shared" si="216"/>
        <v>0</v>
      </c>
      <c r="W121" s="68">
        <f t="shared" si="352"/>
        <v>0</v>
      </c>
      <c r="X121" s="115"/>
      <c r="Y121" s="67">
        <f t="shared" si="218"/>
        <v>0</v>
      </c>
      <c r="Z121" s="68">
        <f t="shared" si="353"/>
        <v>0</v>
      </c>
      <c r="AB121" s="115"/>
      <c r="AC121" s="67">
        <f t="shared" si="220"/>
        <v>0</v>
      </c>
      <c r="AD121" s="68">
        <f t="shared" si="354"/>
        <v>0</v>
      </c>
      <c r="AE121" s="115"/>
      <c r="AF121" s="67">
        <f t="shared" si="222"/>
        <v>0</v>
      </c>
      <c r="AG121" s="68">
        <f t="shared" si="355"/>
        <v>0</v>
      </c>
      <c r="AI121" s="115"/>
      <c r="AJ121" s="67">
        <f t="shared" si="224"/>
        <v>0</v>
      </c>
      <c r="AK121" s="68">
        <f t="shared" si="356"/>
        <v>0</v>
      </c>
      <c r="AL121" s="115"/>
      <c r="AM121" s="67">
        <f t="shared" si="226"/>
        <v>0</v>
      </c>
      <c r="AN121" s="68">
        <f t="shared" si="357"/>
        <v>0</v>
      </c>
      <c r="AP121" s="115"/>
      <c r="AQ121" s="67">
        <f t="shared" si="229"/>
        <v>0</v>
      </c>
      <c r="AR121" s="68">
        <f t="shared" si="358"/>
        <v>0</v>
      </c>
      <c r="AS121" s="115"/>
      <c r="AT121" s="67">
        <f t="shared" si="231"/>
        <v>0</v>
      </c>
      <c r="AU121" s="68">
        <f t="shared" si="359"/>
        <v>0</v>
      </c>
      <c r="AW121" s="115">
        <f>F121</f>
        <v>2</v>
      </c>
      <c r="AX121" s="67">
        <f t="shared" si="233"/>
        <v>3.0123351892278201E-5</v>
      </c>
      <c r="AY121" s="68">
        <f t="shared" si="360"/>
        <v>96.88</v>
      </c>
      <c r="AZ121" s="115"/>
      <c r="BA121" s="67">
        <f t="shared" si="235"/>
        <v>0</v>
      </c>
      <c r="BB121" s="68">
        <f t="shared" si="361"/>
        <v>0</v>
      </c>
      <c r="BD121" s="115">
        <f t="shared" si="362"/>
        <v>0</v>
      </c>
      <c r="BE121" s="67">
        <f t="shared" si="238"/>
        <v>0</v>
      </c>
      <c r="BF121" s="68">
        <f t="shared" si="363"/>
        <v>0</v>
      </c>
      <c r="BG121" s="133">
        <f t="shared" si="364"/>
        <v>2</v>
      </c>
      <c r="BH121" s="67">
        <f t="shared" si="241"/>
        <v>3.0123351892278201E-5</v>
      </c>
      <c r="BI121" s="68">
        <f t="shared" si="365"/>
        <v>96.88</v>
      </c>
      <c r="BJ121" s="117"/>
      <c r="BL121" s="92"/>
    </row>
    <row r="122" spans="1:64" x14ac:dyDescent="0.25">
      <c r="A122" s="99" t="str">
        <f>'01 - Orçamento Sintético'!A122</f>
        <v xml:space="preserve"> 4 </v>
      </c>
      <c r="B122" s="99"/>
      <c r="C122" s="99"/>
      <c r="D122" s="99" t="str">
        <f>'01 - Orçamento Sintético'!D122</f>
        <v>Descarte e outros</v>
      </c>
      <c r="E122" s="99"/>
      <c r="F122" s="93"/>
      <c r="G122" s="69"/>
      <c r="H122" s="69"/>
      <c r="I122" s="69"/>
      <c r="J122" s="69"/>
      <c r="K122" s="69"/>
      <c r="L122" s="70">
        <f>INDEX('01 - Orçamento Sintético'!$A$6:$AB$125,MATCH('02 - Planilha de Medição'!$A122,'01 - Orçamento Sintético'!$A$6:$A$125,0),28)</f>
        <v>12367.17</v>
      </c>
      <c r="N122" s="116"/>
      <c r="O122" s="120">
        <f t="shared" si="243"/>
        <v>2.1103758666729007E-4</v>
      </c>
      <c r="P122" s="70">
        <f>SUM(P123:P125)</f>
        <v>678.72</v>
      </c>
      <c r="Q122" s="116"/>
      <c r="R122" s="120">
        <f t="shared" si="214"/>
        <v>0</v>
      </c>
      <c r="S122" s="70">
        <f>SUM(S123:S125)</f>
        <v>0</v>
      </c>
      <c r="U122" s="116"/>
      <c r="V122" s="120">
        <f t="shared" si="216"/>
        <v>2.1103758666729007E-4</v>
      </c>
      <c r="W122" s="70">
        <f>SUM(W123:W125)</f>
        <v>678.72</v>
      </c>
      <c r="X122" s="116"/>
      <c r="Y122" s="120">
        <f t="shared" si="218"/>
        <v>0</v>
      </c>
      <c r="Z122" s="70">
        <f>SUM(Z123:Z125)</f>
        <v>0</v>
      </c>
      <c r="AB122" s="116"/>
      <c r="AC122" s="120">
        <f t="shared" si="220"/>
        <v>3.6645828694965241E-4</v>
      </c>
      <c r="AD122" s="70">
        <f>SUM(AD123:AD125)</f>
        <v>1178.5700000000002</v>
      </c>
      <c r="AE122" s="116"/>
      <c r="AF122" s="120">
        <f t="shared" si="222"/>
        <v>0</v>
      </c>
      <c r="AG122" s="70">
        <f>SUM(AG123:AG125)</f>
        <v>0</v>
      </c>
      <c r="AI122" s="116"/>
      <c r="AJ122" s="120">
        <f t="shared" si="224"/>
        <v>3.6645828694965241E-4</v>
      </c>
      <c r="AK122" s="70">
        <f>SUM(AK123:AK125)</f>
        <v>1178.5700000000002</v>
      </c>
      <c r="AL122" s="116"/>
      <c r="AM122" s="120">
        <f t="shared" si="226"/>
        <v>0</v>
      </c>
      <c r="AN122" s="70">
        <f>SUM(AN123:AN125)</f>
        <v>0</v>
      </c>
      <c r="AP122" s="116"/>
      <c r="AQ122" s="120">
        <f t="shared" si="229"/>
        <v>3.6645828694965241E-4</v>
      </c>
      <c r="AR122" s="70">
        <f>SUM(AR123:AR125)</f>
        <v>1178.5700000000002</v>
      </c>
      <c r="AS122" s="116"/>
      <c r="AT122" s="120">
        <f t="shared" si="231"/>
        <v>0</v>
      </c>
      <c r="AU122" s="70">
        <f>SUM(AU123:AU125)</f>
        <v>0</v>
      </c>
      <c r="AW122" s="116"/>
      <c r="AX122" s="120">
        <f t="shared" si="233"/>
        <v>2.3239320242560398E-3</v>
      </c>
      <c r="AY122" s="70">
        <f>SUM(AY123:AY125)</f>
        <v>7474.02</v>
      </c>
      <c r="AZ122" s="116"/>
      <c r="BA122" s="120">
        <f t="shared" si="235"/>
        <v>0</v>
      </c>
      <c r="BB122" s="70">
        <f>SUM(BB123:BB125)</f>
        <v>0</v>
      </c>
      <c r="BD122" s="116"/>
      <c r="BE122" s="120">
        <f t="shared" si="238"/>
        <v>0</v>
      </c>
      <c r="BF122" s="70">
        <f>SUM(BF123:BF125)</f>
        <v>0</v>
      </c>
      <c r="BG122" s="134"/>
      <c r="BH122" s="120">
        <f t="shared" si="241"/>
        <v>3.845382058439577E-3</v>
      </c>
      <c r="BI122" s="70">
        <f>SUM(BI123:BI125)</f>
        <v>12367.17</v>
      </c>
      <c r="BJ122" s="117"/>
      <c r="BL122" s="92"/>
    </row>
    <row r="123" spans="1:64" ht="51" x14ac:dyDescent="0.25">
      <c r="A123" s="100" t="str">
        <f>'01 - Orçamento Sintético'!A123</f>
        <v xml:space="preserve"> 4.1 </v>
      </c>
      <c r="B123" s="101" t="str">
        <f>'01 - Orçamento Sintético'!B123</f>
        <v xml:space="preserve"> 018506 </v>
      </c>
      <c r="C123" s="100" t="str">
        <f>'01 - Orçamento Sintético'!C123</f>
        <v>SBC</v>
      </c>
      <c r="D123" s="100" t="str">
        <f>'01 - Orçamento Sintético'!D123</f>
        <v>ALUGUEL MENSAL ANDAIME TUBULAR ATE ALTURA 9,0 METROS</v>
      </c>
      <c r="E123" s="94" t="str">
        <f>'01 - Orçamento Sintético'!E123</f>
        <v>UN</v>
      </c>
      <c r="F123" s="94">
        <f>'01 - Orçamento Sintético'!F123</f>
        <v>6</v>
      </c>
      <c r="G123" s="68">
        <f>INDEX('01 - Orçamento Sintético'!$A$6:$AB$125,MATCH('02 - Planilha de Medição'!$A123,'01 - Orçamento Sintético'!$A$6:$A$125,0),23)</f>
        <v>233.25</v>
      </c>
      <c r="H123" s="68">
        <f>INDEX('01 - Orçamento Sintético'!$A$6:$AB$125,MATCH('02 - Planilha de Medição'!$A123,'01 - Orçamento Sintético'!$A$6:$A$125,0),24)</f>
        <v>445.47</v>
      </c>
      <c r="I123" s="68">
        <f>INDEX('01 - Orçamento Sintético'!$A$6:$AB$125,MATCH('02 - Planilha de Medição'!$A123,'01 - Orçamento Sintético'!$A$6:$A$125,0),25)</f>
        <v>678.72</v>
      </c>
      <c r="J123" s="68">
        <f>INDEX('01 - Orçamento Sintético'!$A$6:$AB$125,MATCH('02 - Planilha de Medição'!$A123,'01 - Orçamento Sintético'!$A$6:$A$125,0),26)</f>
        <v>1399.5</v>
      </c>
      <c r="K123" s="68">
        <f>INDEX('01 - Orçamento Sintético'!$A$6:$AB$125,MATCH('02 - Planilha de Medição'!$A123,'01 - Orçamento Sintético'!$A$6:$A$125,0),27)</f>
        <v>2672.82</v>
      </c>
      <c r="L123" s="68">
        <f>INDEX('01 - Orçamento Sintético'!$A$6:$AB$125,MATCH('02 - Planilha de Medição'!$A123,'01 - Orçamento Sintético'!$A$6:$A$125,0),28)</f>
        <v>4072.32</v>
      </c>
      <c r="N123" s="115">
        <f>$F123/6</f>
        <v>1</v>
      </c>
      <c r="O123" s="67">
        <f t="shared" si="243"/>
        <v>2.1103758666729007E-4</v>
      </c>
      <c r="P123" s="68">
        <f t="shared" ref="P123:P125" si="366">TRUNC(N123*$I123,2)</f>
        <v>678.72</v>
      </c>
      <c r="Q123" s="115"/>
      <c r="R123" s="67">
        <f t="shared" si="214"/>
        <v>0</v>
      </c>
      <c r="S123" s="68">
        <f t="shared" ref="S123:S125" si="367">TRUNC(Q123*$I123,2)</f>
        <v>0</v>
      </c>
      <c r="U123" s="115">
        <f>$F123/6</f>
        <v>1</v>
      </c>
      <c r="V123" s="67">
        <f t="shared" si="216"/>
        <v>2.1103758666729007E-4</v>
      </c>
      <c r="W123" s="68">
        <f t="shared" ref="W123:W125" si="368">TRUNC(U123*$I123,2)</f>
        <v>678.72</v>
      </c>
      <c r="X123" s="115"/>
      <c r="Y123" s="67">
        <f t="shared" si="218"/>
        <v>0</v>
      </c>
      <c r="Z123" s="68">
        <f t="shared" ref="Z123:Z125" si="369">TRUNC(X123*$I123,2)</f>
        <v>0</v>
      </c>
      <c r="AB123" s="115">
        <f>$F123/6</f>
        <v>1</v>
      </c>
      <c r="AC123" s="67">
        <f t="shared" si="220"/>
        <v>2.1103758666729007E-4</v>
      </c>
      <c r="AD123" s="68">
        <f t="shared" ref="AD123:AD125" si="370">TRUNC(AB123*$I123,2)</f>
        <v>678.72</v>
      </c>
      <c r="AE123" s="115"/>
      <c r="AF123" s="67">
        <f t="shared" si="222"/>
        <v>0</v>
      </c>
      <c r="AG123" s="68">
        <f t="shared" ref="AG123:AG125" si="371">TRUNC(AE123*$I123,2)</f>
        <v>0</v>
      </c>
      <c r="AI123" s="115">
        <f>$F123/6</f>
        <v>1</v>
      </c>
      <c r="AJ123" s="67">
        <f t="shared" si="224"/>
        <v>2.1103758666729007E-4</v>
      </c>
      <c r="AK123" s="68">
        <f t="shared" ref="AK123:AK125" si="372">TRUNC(AI123*$I123,2)</f>
        <v>678.72</v>
      </c>
      <c r="AL123" s="115"/>
      <c r="AM123" s="67">
        <f t="shared" si="226"/>
        <v>0</v>
      </c>
      <c r="AN123" s="68">
        <f t="shared" ref="AN123:AN125" si="373">TRUNC(AL123*$I123,2)</f>
        <v>0</v>
      </c>
      <c r="AP123" s="115">
        <f>$F123/6</f>
        <v>1</v>
      </c>
      <c r="AQ123" s="67">
        <f t="shared" si="229"/>
        <v>2.1103758666729007E-4</v>
      </c>
      <c r="AR123" s="68">
        <f t="shared" ref="AR123:AR125" si="374">TRUNC(AP123*$I123,2)</f>
        <v>678.72</v>
      </c>
      <c r="AS123" s="115"/>
      <c r="AT123" s="67">
        <f t="shared" si="231"/>
        <v>0</v>
      </c>
      <c r="AU123" s="68">
        <f t="shared" ref="AU123:AU125" si="375">TRUNC(AS123*$I123,2)</f>
        <v>0</v>
      </c>
      <c r="AW123" s="115">
        <f>$F123/6</f>
        <v>1</v>
      </c>
      <c r="AX123" s="67">
        <f t="shared" si="233"/>
        <v>2.1103758666729007E-4</v>
      </c>
      <c r="AY123" s="68">
        <f t="shared" ref="AY123:AY125" si="376">TRUNC(AW123*$I123,2)</f>
        <v>678.72</v>
      </c>
      <c r="AZ123" s="115"/>
      <c r="BA123" s="67">
        <f t="shared" si="235"/>
        <v>0</v>
      </c>
      <c r="BB123" s="68">
        <f t="shared" ref="BB123:BB125" si="377">TRUNC(AZ123*$I123,2)</f>
        <v>0</v>
      </c>
      <c r="BD123" s="115">
        <f t="shared" ref="BD123:BD125" si="378">SUM(Q123,X123,AE123,AL123,AS123,AZ123)</f>
        <v>0</v>
      </c>
      <c r="BE123" s="67">
        <f t="shared" si="238"/>
        <v>0</v>
      </c>
      <c r="BF123" s="68">
        <f t="shared" ref="BF123:BF125" si="379">TRUNC(BD123*$I123,2)</f>
        <v>0</v>
      </c>
      <c r="BG123" s="133">
        <f t="shared" ref="BG123:BG125" si="380">$F123-BD123</f>
        <v>6</v>
      </c>
      <c r="BH123" s="67">
        <f t="shared" si="241"/>
        <v>1.2662255200037403E-3</v>
      </c>
      <c r="BI123" s="68">
        <f t="shared" ref="BI123:BI125" si="381">TRUNC(BG123*$I123,2)</f>
        <v>4072.32</v>
      </c>
      <c r="BJ123" s="117"/>
      <c r="BL123" s="92"/>
    </row>
    <row r="124" spans="1:64" ht="51" x14ac:dyDescent="0.25">
      <c r="A124" s="100" t="str">
        <f>'01 - Orçamento Sintético'!A124</f>
        <v xml:space="preserve"> 4.2 </v>
      </c>
      <c r="B124" s="101" t="str">
        <f>'01 - Orçamento Sintético'!B124</f>
        <v xml:space="preserve"> 018505 </v>
      </c>
      <c r="C124" s="100" t="str">
        <f>'01 - Orçamento Sintético'!C124</f>
        <v>SBC</v>
      </c>
      <c r="D124" s="100" t="str">
        <f>'01 - Orçamento Sintético'!D124</f>
        <v>ALUGUEL MENSAL ANDAIME TUBULAR ATE ALTURA 6,0 METROS</v>
      </c>
      <c r="E124" s="94" t="str">
        <f>'01 - Orçamento Sintético'!E124</f>
        <v>UN</v>
      </c>
      <c r="F124" s="94">
        <f>'01 - Orçamento Sintético'!F124</f>
        <v>4</v>
      </c>
      <c r="G124" s="68">
        <f>INDEX('01 - Orçamento Sintético'!$A$6:$AB$125,MATCH('02 - Planilha de Medição'!$A124,'01 - Orçamento Sintético'!$A$6:$A$125,0),23)</f>
        <v>186.62</v>
      </c>
      <c r="H124" s="68">
        <f>INDEX('01 - Orçamento Sintético'!$A$6:$AB$125,MATCH('02 - Planilha de Medição'!$A124,'01 - Orçamento Sintético'!$A$6:$A$125,0),24)</f>
        <v>313.23</v>
      </c>
      <c r="I124" s="68">
        <f>INDEX('01 - Orçamento Sintético'!$A$6:$AB$125,MATCH('02 - Planilha de Medição'!$A124,'01 - Orçamento Sintético'!$A$6:$A$125,0),25)</f>
        <v>499.85</v>
      </c>
      <c r="J124" s="68">
        <f>INDEX('01 - Orçamento Sintético'!$A$6:$AB$125,MATCH('02 - Planilha de Medição'!$A124,'01 - Orçamento Sintético'!$A$6:$A$125,0),26)</f>
        <v>746.48</v>
      </c>
      <c r="K124" s="68">
        <f>INDEX('01 - Orçamento Sintético'!$A$6:$AB$125,MATCH('02 - Planilha de Medição'!$A124,'01 - Orçamento Sintético'!$A$6:$A$125,0),27)</f>
        <v>1252.92</v>
      </c>
      <c r="L124" s="68">
        <f>INDEX('01 - Orçamento Sintético'!$A$6:$AB$125,MATCH('02 - Planilha de Medição'!$A124,'01 - Orçamento Sintético'!$A$6:$A$125,0),28)</f>
        <v>1999.4</v>
      </c>
      <c r="N124" s="115"/>
      <c r="O124" s="67">
        <f t="shared" si="243"/>
        <v>0</v>
      </c>
      <c r="P124" s="68">
        <f t="shared" si="366"/>
        <v>0</v>
      </c>
      <c r="Q124" s="115"/>
      <c r="R124" s="67">
        <f t="shared" si="214"/>
        <v>0</v>
      </c>
      <c r="S124" s="68">
        <f t="shared" si="367"/>
        <v>0</v>
      </c>
      <c r="U124" s="115"/>
      <c r="V124" s="67">
        <f t="shared" si="216"/>
        <v>0</v>
      </c>
      <c r="W124" s="68">
        <f t="shared" si="368"/>
        <v>0</v>
      </c>
      <c r="X124" s="115"/>
      <c r="Y124" s="67">
        <f t="shared" si="218"/>
        <v>0</v>
      </c>
      <c r="Z124" s="68">
        <f t="shared" si="369"/>
        <v>0</v>
      </c>
      <c r="AB124" s="115">
        <f>$F124/4</f>
        <v>1</v>
      </c>
      <c r="AC124" s="67">
        <f t="shared" si="220"/>
        <v>1.5542070028236229E-4</v>
      </c>
      <c r="AD124" s="68">
        <f t="shared" si="370"/>
        <v>499.85</v>
      </c>
      <c r="AE124" s="115"/>
      <c r="AF124" s="67">
        <f t="shared" si="222"/>
        <v>0</v>
      </c>
      <c r="AG124" s="68">
        <f t="shared" si="371"/>
        <v>0</v>
      </c>
      <c r="AI124" s="115">
        <f>$F124/4</f>
        <v>1</v>
      </c>
      <c r="AJ124" s="67">
        <f t="shared" si="224"/>
        <v>1.5542070028236229E-4</v>
      </c>
      <c r="AK124" s="68">
        <f t="shared" si="372"/>
        <v>499.85</v>
      </c>
      <c r="AL124" s="115"/>
      <c r="AM124" s="67">
        <f t="shared" si="226"/>
        <v>0</v>
      </c>
      <c r="AN124" s="68">
        <f t="shared" si="373"/>
        <v>0</v>
      </c>
      <c r="AP124" s="115">
        <f>$F124/4</f>
        <v>1</v>
      </c>
      <c r="AQ124" s="67">
        <f t="shared" si="229"/>
        <v>1.5542070028236229E-4</v>
      </c>
      <c r="AR124" s="68">
        <f t="shared" si="374"/>
        <v>499.85</v>
      </c>
      <c r="AS124" s="115"/>
      <c r="AT124" s="67">
        <f t="shared" si="231"/>
        <v>0</v>
      </c>
      <c r="AU124" s="68">
        <f t="shared" si="375"/>
        <v>0</v>
      </c>
      <c r="AW124" s="115">
        <f>$F124/4</f>
        <v>1</v>
      </c>
      <c r="AX124" s="67">
        <f t="shared" si="233"/>
        <v>1.5542070028236229E-4</v>
      </c>
      <c r="AY124" s="68">
        <f t="shared" si="376"/>
        <v>499.85</v>
      </c>
      <c r="AZ124" s="115"/>
      <c r="BA124" s="67">
        <f t="shared" si="235"/>
        <v>0</v>
      </c>
      <c r="BB124" s="68">
        <f t="shared" si="377"/>
        <v>0</v>
      </c>
      <c r="BD124" s="115">
        <f t="shared" si="378"/>
        <v>0</v>
      </c>
      <c r="BE124" s="67">
        <f t="shared" si="238"/>
        <v>0</v>
      </c>
      <c r="BF124" s="68">
        <f t="shared" si="379"/>
        <v>0</v>
      </c>
      <c r="BG124" s="133">
        <f t="shared" si="380"/>
        <v>4</v>
      </c>
      <c r="BH124" s="67">
        <f t="shared" si="241"/>
        <v>6.2168280112944916E-4</v>
      </c>
      <c r="BI124" s="68">
        <f t="shared" si="381"/>
        <v>1999.4</v>
      </c>
      <c r="BJ124" s="117"/>
      <c r="BL124" s="92"/>
    </row>
    <row r="125" spans="1:64" ht="38.25" x14ac:dyDescent="0.25">
      <c r="A125" s="100" t="str">
        <f>'01 - Orçamento Sintético'!A125</f>
        <v xml:space="preserve"> 4.3 </v>
      </c>
      <c r="B125" s="101" t="str">
        <f>'01 - Orçamento Sintético'!B125</f>
        <v xml:space="preserve"> 10039 </v>
      </c>
      <c r="C125" s="100" t="str">
        <f>'01 - Orçamento Sintético'!C125</f>
        <v>ORSE</v>
      </c>
      <c r="D125" s="100" t="str">
        <f>'01 - Orçamento Sintético'!D125</f>
        <v>Descarte de resíduos da construção civil em área licenciada</v>
      </c>
      <c r="E125" s="94" t="str">
        <f>'01 - Orçamento Sintético'!E125</f>
        <v>t</v>
      </c>
      <c r="F125" s="94">
        <f>'01 - Orçamento Sintético'!F125</f>
        <v>189.28</v>
      </c>
      <c r="G125" s="68">
        <f>INDEX('01 - Orçamento Sintético'!$A$6:$AB$125,MATCH('02 - Planilha de Medição'!$A125,'01 - Orçamento Sintético'!$A$6:$A$125,0),23)</f>
        <v>0</v>
      </c>
      <c r="H125" s="68">
        <f>INDEX('01 - Orçamento Sintético'!$A$6:$AB$125,MATCH('02 - Planilha de Medição'!$A125,'01 - Orçamento Sintético'!$A$6:$A$125,0),24)</f>
        <v>33.26</v>
      </c>
      <c r="I125" s="68">
        <f>INDEX('01 - Orçamento Sintético'!$A$6:$AB$125,MATCH('02 - Planilha de Medição'!$A125,'01 - Orçamento Sintético'!$A$6:$A$125,0),25)</f>
        <v>33.26</v>
      </c>
      <c r="J125" s="68">
        <f>INDEX('01 - Orçamento Sintético'!$A$6:$AB$125,MATCH('02 - Planilha de Medição'!$A125,'01 - Orçamento Sintético'!$A$6:$A$125,0),26)</f>
        <v>0</v>
      </c>
      <c r="K125" s="68">
        <f>INDEX('01 - Orçamento Sintético'!$A$6:$AB$125,MATCH('02 - Planilha de Medição'!$A125,'01 - Orçamento Sintético'!$A$6:$A$125,0),27)</f>
        <v>6295.45</v>
      </c>
      <c r="L125" s="68">
        <f>INDEX('01 - Orçamento Sintético'!$A$6:$AB$125,MATCH('02 - Planilha de Medição'!$A125,'01 - Orçamento Sintético'!$A$6:$A$125,0),28)</f>
        <v>6295.45</v>
      </c>
      <c r="N125" s="115"/>
      <c r="O125" s="67">
        <f t="shared" si="243"/>
        <v>0</v>
      </c>
      <c r="P125" s="68">
        <f t="shared" si="366"/>
        <v>0</v>
      </c>
      <c r="Q125" s="115"/>
      <c r="R125" s="67">
        <f t="shared" si="214"/>
        <v>0</v>
      </c>
      <c r="S125" s="68">
        <f t="shared" si="367"/>
        <v>0</v>
      </c>
      <c r="U125" s="115"/>
      <c r="V125" s="67">
        <f t="shared" si="216"/>
        <v>0</v>
      </c>
      <c r="W125" s="68">
        <f t="shared" si="368"/>
        <v>0</v>
      </c>
      <c r="X125" s="115"/>
      <c r="Y125" s="67">
        <f t="shared" si="218"/>
        <v>0</v>
      </c>
      <c r="Z125" s="68">
        <f t="shared" si="369"/>
        <v>0</v>
      </c>
      <c r="AB125" s="115"/>
      <c r="AC125" s="67">
        <f t="shared" si="220"/>
        <v>0</v>
      </c>
      <c r="AD125" s="68">
        <f t="shared" si="370"/>
        <v>0</v>
      </c>
      <c r="AE125" s="115"/>
      <c r="AF125" s="67">
        <f t="shared" si="222"/>
        <v>0</v>
      </c>
      <c r="AG125" s="68">
        <f t="shared" si="371"/>
        <v>0</v>
      </c>
      <c r="AI125" s="115"/>
      <c r="AJ125" s="67">
        <f t="shared" si="224"/>
        <v>0</v>
      </c>
      <c r="AK125" s="68">
        <f t="shared" si="372"/>
        <v>0</v>
      </c>
      <c r="AL125" s="115"/>
      <c r="AM125" s="67">
        <f t="shared" si="226"/>
        <v>0</v>
      </c>
      <c r="AN125" s="68">
        <f t="shared" si="373"/>
        <v>0</v>
      </c>
      <c r="AP125" s="115"/>
      <c r="AQ125" s="67">
        <f t="shared" si="229"/>
        <v>0</v>
      </c>
      <c r="AR125" s="68">
        <f t="shared" si="374"/>
        <v>0</v>
      </c>
      <c r="AS125" s="115"/>
      <c r="AT125" s="67">
        <f t="shared" si="231"/>
        <v>0</v>
      </c>
      <c r="AU125" s="68">
        <f t="shared" si="375"/>
        <v>0</v>
      </c>
      <c r="AW125" s="115">
        <f>F125</f>
        <v>189.28</v>
      </c>
      <c r="AX125" s="67">
        <f t="shared" si="233"/>
        <v>1.9574737373063873E-3</v>
      </c>
      <c r="AY125" s="68">
        <f t="shared" si="376"/>
        <v>6295.45</v>
      </c>
      <c r="AZ125" s="115"/>
      <c r="BA125" s="67">
        <f t="shared" si="235"/>
        <v>0</v>
      </c>
      <c r="BB125" s="68">
        <f t="shared" si="377"/>
        <v>0</v>
      </c>
      <c r="BD125" s="115">
        <f t="shared" si="378"/>
        <v>0</v>
      </c>
      <c r="BE125" s="67">
        <f t="shared" si="238"/>
        <v>0</v>
      </c>
      <c r="BF125" s="68">
        <f t="shared" si="379"/>
        <v>0</v>
      </c>
      <c r="BG125" s="133">
        <f t="shared" si="380"/>
        <v>189.28</v>
      </c>
      <c r="BH125" s="67">
        <f t="shared" si="241"/>
        <v>1.9574737373063873E-3</v>
      </c>
      <c r="BI125" s="68">
        <f t="shared" si="381"/>
        <v>6295.45</v>
      </c>
      <c r="BJ125" s="117"/>
      <c r="BL125" s="92"/>
    </row>
    <row r="126" spans="1:64" x14ac:dyDescent="0.25">
      <c r="U126" s="117"/>
      <c r="V126" s="110"/>
      <c r="Y126" s="110"/>
      <c r="AB126" s="117"/>
      <c r="AC126" s="110"/>
      <c r="AF126" s="110"/>
      <c r="AI126" s="117"/>
      <c r="AJ126" s="110"/>
      <c r="AM126" s="110"/>
      <c r="AP126" s="117"/>
      <c r="AQ126" s="110"/>
      <c r="AT126" s="110"/>
      <c r="AW126" s="117"/>
      <c r="AX126" s="110"/>
      <c r="BA126" s="110"/>
      <c r="BD126" s="117"/>
      <c r="BE126" s="110"/>
      <c r="BH126" s="110"/>
    </row>
    <row r="127" spans="1:64" ht="15.75" thickBot="1" x14ac:dyDescent="0.3">
      <c r="N127" s="317" t="s">
        <v>409</v>
      </c>
      <c r="O127" s="318"/>
      <c r="P127" s="319"/>
      <c r="Q127" s="317" t="s">
        <v>410</v>
      </c>
      <c r="R127" s="318"/>
      <c r="S127" s="319"/>
      <c r="U127" s="273" t="s">
        <v>416</v>
      </c>
      <c r="V127" s="274"/>
      <c r="W127" s="275"/>
      <c r="X127" s="273" t="s">
        <v>417</v>
      </c>
      <c r="Y127" s="274"/>
      <c r="Z127" s="275"/>
      <c r="AB127" s="307" t="s">
        <v>418</v>
      </c>
      <c r="AC127" s="308"/>
      <c r="AD127" s="309"/>
      <c r="AE127" s="307" t="s">
        <v>419</v>
      </c>
      <c r="AF127" s="308"/>
      <c r="AG127" s="309"/>
      <c r="AI127" s="286" t="s">
        <v>420</v>
      </c>
      <c r="AJ127" s="287"/>
      <c r="AK127" s="288"/>
      <c r="AL127" s="286" t="s">
        <v>421</v>
      </c>
      <c r="AM127" s="287"/>
      <c r="AN127" s="288"/>
      <c r="AP127" s="289" t="s">
        <v>422</v>
      </c>
      <c r="AQ127" s="290"/>
      <c r="AR127" s="291"/>
      <c r="AS127" s="289" t="s">
        <v>423</v>
      </c>
      <c r="AT127" s="290"/>
      <c r="AU127" s="291"/>
      <c r="AW127" s="292" t="s">
        <v>424</v>
      </c>
      <c r="AX127" s="293"/>
      <c r="AY127" s="294"/>
      <c r="AZ127" s="292" t="s">
        <v>425</v>
      </c>
      <c r="BA127" s="293"/>
      <c r="BB127" s="294"/>
      <c r="BD127" s="265" t="s">
        <v>429</v>
      </c>
      <c r="BE127" s="266"/>
      <c r="BF127" s="267"/>
      <c r="BG127" s="265" t="s">
        <v>430</v>
      </c>
      <c r="BH127" s="266"/>
      <c r="BI127" s="267"/>
    </row>
    <row r="128" spans="1:64" ht="15.75" thickBot="1" x14ac:dyDescent="0.3">
      <c r="F128" s="312" t="s">
        <v>403</v>
      </c>
      <c r="G128" s="313"/>
      <c r="H128" s="313"/>
      <c r="I128" s="313"/>
      <c r="J128" s="314"/>
      <c r="K128" s="315">
        <f>SUM(L6,L10,L45,L122)</f>
        <v>3216109.5599999996</v>
      </c>
      <c r="L128" s="316"/>
      <c r="N128" s="320">
        <f>P128/$K$128</f>
        <v>0.13291556833654636</v>
      </c>
      <c r="O128" s="321"/>
      <c r="P128" s="125">
        <f>SUM(P6,P10,P45,P122)</f>
        <v>427471.02999999997</v>
      </c>
      <c r="Q128" s="320">
        <f>S128/$K$128</f>
        <v>0</v>
      </c>
      <c r="R128" s="321"/>
      <c r="S128" s="125">
        <f>SUM(S6,S10,S45,S122)</f>
        <v>0</v>
      </c>
      <c r="U128" s="276">
        <f>W128/$K$128</f>
        <v>0.13160195948050973</v>
      </c>
      <c r="V128" s="277"/>
      <c r="W128" s="126">
        <f>SUM(W6,W10,W45,W122)</f>
        <v>423246.31999999995</v>
      </c>
      <c r="X128" s="276">
        <f>Z128/$K$128</f>
        <v>0</v>
      </c>
      <c r="Y128" s="277"/>
      <c r="Z128" s="126">
        <f>SUM(Z6,Z10,Z45,Z122)</f>
        <v>0</v>
      </c>
      <c r="AB128" s="310">
        <f>AD128/$K$128</f>
        <v>0.15800587340687489</v>
      </c>
      <c r="AC128" s="311"/>
      <c r="AD128" s="127">
        <f>SUM(AD6,AD10,AD45,AD122)</f>
        <v>508164.2</v>
      </c>
      <c r="AE128" s="310">
        <f>AG128/$K$128</f>
        <v>0</v>
      </c>
      <c r="AF128" s="311"/>
      <c r="AG128" s="127">
        <f>SUM(AG6,AG10,AG45,AG122)</f>
        <v>0</v>
      </c>
      <c r="AI128" s="282">
        <f>AK128/$K$128</f>
        <v>0.17027787759817486</v>
      </c>
      <c r="AJ128" s="283"/>
      <c r="AK128" s="128">
        <f>SUM(AK6,AK10,AK45,AK122)</f>
        <v>547632.30999999994</v>
      </c>
      <c r="AL128" s="282">
        <f>AN128/$K$128</f>
        <v>0</v>
      </c>
      <c r="AM128" s="283"/>
      <c r="AN128" s="128">
        <f>SUM(AN6,AN10,AN45,AN122)</f>
        <v>0</v>
      </c>
      <c r="AP128" s="132">
        <f>AR128/$K$128</f>
        <v>0.18585147951240816</v>
      </c>
      <c r="AQ128" s="130"/>
      <c r="AR128" s="131">
        <f>SUM(AR6,AR10,AR45,AR122)</f>
        <v>597718.72</v>
      </c>
      <c r="AS128" s="138">
        <f>AU128/$K$128</f>
        <v>0</v>
      </c>
      <c r="AT128" s="130"/>
      <c r="AU128" s="131">
        <f>SUM(AU6,AU10,AU45,AU122)</f>
        <v>0</v>
      </c>
      <c r="AW128" s="284">
        <f>AY128/$K$128</f>
        <v>0.22134724166548611</v>
      </c>
      <c r="AX128" s="285"/>
      <c r="AY128" s="129">
        <f>SUM(AY6,AY10,AY45,AY122)</f>
        <v>711876.9800000001</v>
      </c>
      <c r="AZ128" s="284">
        <f>BB128/$K$128</f>
        <v>0</v>
      </c>
      <c r="BA128" s="285"/>
      <c r="BB128" s="129">
        <f>SUM(BB6,BB10,BB45,BB122)</f>
        <v>0</v>
      </c>
      <c r="BD128" s="268">
        <f>BF128/$K$128</f>
        <v>0</v>
      </c>
      <c r="BE128" s="269"/>
      <c r="BF128" s="140">
        <f>SUM(BF6,BF10,BF45,BF122)</f>
        <v>0</v>
      </c>
      <c r="BG128" s="268">
        <f>BI128/$K$128</f>
        <v>1</v>
      </c>
      <c r="BH128" s="269"/>
      <c r="BI128" s="140">
        <f>SUM(BI6,BI10,BI45,BI122)</f>
        <v>3216109.5599999996</v>
      </c>
    </row>
    <row r="129" spans="14:60" x14ac:dyDescent="0.25">
      <c r="N129" s="61"/>
      <c r="O129" s="122"/>
      <c r="P129" s="61"/>
      <c r="Q129" s="137"/>
      <c r="R129" s="122"/>
      <c r="U129" s="61"/>
      <c r="V129" s="122"/>
      <c r="W129" s="61"/>
      <c r="X129" s="137"/>
      <c r="Y129" s="122"/>
      <c r="AB129" s="61"/>
      <c r="AC129" s="122"/>
      <c r="AD129" s="61"/>
      <c r="AE129" s="137"/>
      <c r="AF129" s="122"/>
      <c r="AI129" s="61"/>
      <c r="AJ129" s="122"/>
      <c r="AK129" s="61"/>
      <c r="AL129" s="137"/>
      <c r="AM129" s="122"/>
      <c r="AP129" s="61"/>
      <c r="AQ129" s="122"/>
      <c r="AR129" s="61"/>
      <c r="AS129" s="137"/>
      <c r="AT129" s="122"/>
      <c r="AW129" s="61"/>
      <c r="AX129" s="122"/>
      <c r="AY129" s="61"/>
      <c r="AZ129" s="137"/>
      <c r="BA129" s="122"/>
      <c r="BD129" s="61"/>
      <c r="BE129" s="122"/>
      <c r="BF129" s="61"/>
      <c r="BG129" s="135"/>
      <c r="BH129" s="122"/>
    </row>
    <row r="130" spans="14:60" x14ac:dyDescent="0.25">
      <c r="N130" s="278">
        <f>P130/$K$128</f>
        <v>0.13291556833654636</v>
      </c>
      <c r="O130" s="279"/>
      <c r="P130" s="123">
        <f>P128</f>
        <v>427471.02999999997</v>
      </c>
      <c r="Q130" s="280">
        <f>S130/$K$128</f>
        <v>0</v>
      </c>
      <c r="R130" s="281"/>
      <c r="S130" s="124">
        <f>S128</f>
        <v>0</v>
      </c>
      <c r="U130" s="278">
        <f>W130/$K$128</f>
        <v>0.26451752781705606</v>
      </c>
      <c r="V130" s="279"/>
      <c r="W130" s="123">
        <f>SUM(W128,P130)</f>
        <v>850717.34999999986</v>
      </c>
      <c r="X130" s="280">
        <f>Z130/$K$128</f>
        <v>0</v>
      </c>
      <c r="Y130" s="281"/>
      <c r="Z130" s="124">
        <f>SUM(Z128,S130)</f>
        <v>0</v>
      </c>
      <c r="AB130" s="278">
        <f>AD130/$K$128</f>
        <v>0.42252340122393095</v>
      </c>
      <c r="AC130" s="279"/>
      <c r="AD130" s="123">
        <f>SUM(AD128,W130)</f>
        <v>1358881.5499999998</v>
      </c>
      <c r="AE130" s="280">
        <f>AG130/$K$128</f>
        <v>0</v>
      </c>
      <c r="AF130" s="281"/>
      <c r="AG130" s="124">
        <f>SUM(AG128,Z130)</f>
        <v>0</v>
      </c>
      <c r="AI130" s="278">
        <f>AK130/$K$128</f>
        <v>0.59280127882210587</v>
      </c>
      <c r="AJ130" s="279"/>
      <c r="AK130" s="123">
        <f>SUM(AK128,AD130)</f>
        <v>1906513.8599999999</v>
      </c>
      <c r="AL130" s="280">
        <f>AN130/$K$128</f>
        <v>0</v>
      </c>
      <c r="AM130" s="281"/>
      <c r="AN130" s="124">
        <f>SUM(AN128,AG130)</f>
        <v>0</v>
      </c>
      <c r="AP130" s="278">
        <f>AR130/$K$128</f>
        <v>0.77865275833451408</v>
      </c>
      <c r="AQ130" s="279"/>
      <c r="AR130" s="123">
        <f>SUM(AR128,AK130)</f>
        <v>2504232.58</v>
      </c>
      <c r="AS130" s="280">
        <f>AU130/$K$128</f>
        <v>0</v>
      </c>
      <c r="AT130" s="281"/>
      <c r="AU130" s="124">
        <f>SUM(AU128,AN130)</f>
        <v>0</v>
      </c>
      <c r="AW130" s="278">
        <f>AY130/$K$128</f>
        <v>1.0000000000000002</v>
      </c>
      <c r="AX130" s="279"/>
      <c r="AY130" s="123">
        <f>SUM(AY128,AR130)</f>
        <v>3216109.56</v>
      </c>
      <c r="AZ130" s="280">
        <f>BB130/$K$128</f>
        <v>0</v>
      </c>
      <c r="BA130" s="281"/>
      <c r="BB130" s="124">
        <f>SUM(BB128,AU130)</f>
        <v>0</v>
      </c>
    </row>
    <row r="131" spans="14:60" x14ac:dyDescent="0.25">
      <c r="AI131" s="117"/>
      <c r="AJ131" s="110"/>
      <c r="AM131" s="110"/>
    </row>
  </sheetData>
  <mergeCells count="77">
    <mergeCell ref="E1:G1"/>
    <mergeCell ref="H1:J1"/>
    <mergeCell ref="O1:Q1"/>
    <mergeCell ref="E2:G2"/>
    <mergeCell ref="H2:J2"/>
    <mergeCell ref="B2:D2"/>
    <mergeCell ref="B1:D1"/>
    <mergeCell ref="A4:A5"/>
    <mergeCell ref="B4:B5"/>
    <mergeCell ref="C4:C5"/>
    <mergeCell ref="D4:D5"/>
    <mergeCell ref="Q4:S4"/>
    <mergeCell ref="N4:P4"/>
    <mergeCell ref="N3:S3"/>
    <mergeCell ref="G4:I4"/>
    <mergeCell ref="J4:L4"/>
    <mergeCell ref="A3:L3"/>
    <mergeCell ref="E4:E5"/>
    <mergeCell ref="F4:F5"/>
    <mergeCell ref="N130:O130"/>
    <mergeCell ref="Q130:R130"/>
    <mergeCell ref="F128:J128"/>
    <mergeCell ref="K128:L128"/>
    <mergeCell ref="N127:P127"/>
    <mergeCell ref="Q127:S127"/>
    <mergeCell ref="N128:O128"/>
    <mergeCell ref="Q128:R128"/>
    <mergeCell ref="U130:V130"/>
    <mergeCell ref="X130:Y130"/>
    <mergeCell ref="AB3:AG3"/>
    <mergeCell ref="AB4:AD4"/>
    <mergeCell ref="AE4:AG4"/>
    <mergeCell ref="AB127:AD127"/>
    <mergeCell ref="AE127:AG127"/>
    <mergeCell ref="AB128:AC128"/>
    <mergeCell ref="AE128:AF128"/>
    <mergeCell ref="AB130:AC130"/>
    <mergeCell ref="AE130:AF130"/>
    <mergeCell ref="AI3:AN3"/>
    <mergeCell ref="AP3:AU3"/>
    <mergeCell ref="AW3:BB3"/>
    <mergeCell ref="AI4:AK4"/>
    <mergeCell ref="AL4:AN4"/>
    <mergeCell ref="AP4:AR4"/>
    <mergeCell ref="AS4:AU4"/>
    <mergeCell ref="AW4:AY4"/>
    <mergeCell ref="AZ130:BA130"/>
    <mergeCell ref="AI128:AJ128"/>
    <mergeCell ref="AL128:AM128"/>
    <mergeCell ref="AW128:AX128"/>
    <mergeCell ref="AZ128:BA128"/>
    <mergeCell ref="AI130:AJ130"/>
    <mergeCell ref="AL130:AM130"/>
    <mergeCell ref="AP130:AQ130"/>
    <mergeCell ref="AS130:AT130"/>
    <mergeCell ref="AW130:AX130"/>
    <mergeCell ref="BD128:BE128"/>
    <mergeCell ref="BG128:BH128"/>
    <mergeCell ref="U3:Z3"/>
    <mergeCell ref="U4:W4"/>
    <mergeCell ref="X4:Z4"/>
    <mergeCell ref="U127:W127"/>
    <mergeCell ref="X127:Z127"/>
    <mergeCell ref="U128:V128"/>
    <mergeCell ref="AZ4:BB4"/>
    <mergeCell ref="AI127:AK127"/>
    <mergeCell ref="AL127:AN127"/>
    <mergeCell ref="AP127:AR127"/>
    <mergeCell ref="AS127:AU127"/>
    <mergeCell ref="AW127:AY127"/>
    <mergeCell ref="AZ127:BB127"/>
    <mergeCell ref="X128:Y128"/>
    <mergeCell ref="BD3:BI3"/>
    <mergeCell ref="BD4:BF4"/>
    <mergeCell ref="BG4:BI4"/>
    <mergeCell ref="BD127:BF127"/>
    <mergeCell ref="BG127:BI12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96F3E-CA8E-4505-B82A-9065086E96FB}">
  <dimension ref="A1:AD17"/>
  <sheetViews>
    <sheetView topLeftCell="J1" workbookViewId="0">
      <selection activeCell="AF17" sqref="AF17"/>
    </sheetView>
  </sheetViews>
  <sheetFormatPr defaultRowHeight="15" x14ac:dyDescent="0.25"/>
  <cols>
    <col min="1" max="1" width="11.7109375" customWidth="1"/>
    <col min="2" max="2" width="24.28515625" customWidth="1"/>
    <col min="4" max="4" width="15.85546875" bestFit="1" customWidth="1"/>
    <col min="6" max="6" width="14.28515625" bestFit="1" customWidth="1"/>
    <col min="10" max="10" width="15.85546875" bestFit="1" customWidth="1"/>
    <col min="14" max="14" width="15.85546875" bestFit="1" customWidth="1"/>
    <col min="16" max="16" width="9.85546875" customWidth="1"/>
    <col min="18" max="18" width="15.85546875" bestFit="1" customWidth="1"/>
    <col min="22" max="22" width="15.85546875" bestFit="1" customWidth="1"/>
    <col min="26" max="26" width="15.85546875" bestFit="1" customWidth="1"/>
    <col min="29" max="30" width="17.5703125" customWidth="1"/>
  </cols>
  <sheetData>
    <row r="1" spans="1:30" x14ac:dyDescent="0.25">
      <c r="A1" s="1"/>
      <c r="B1" s="334" t="s">
        <v>0</v>
      </c>
      <c r="C1" s="334"/>
      <c r="D1" s="334"/>
      <c r="E1" s="247" t="s">
        <v>1</v>
      </c>
      <c r="F1" s="247"/>
      <c r="G1" s="247"/>
      <c r="H1" s="247" t="s">
        <v>2</v>
      </c>
      <c r="I1" s="247"/>
      <c r="J1" s="247"/>
      <c r="K1" s="247" t="s">
        <v>3</v>
      </c>
      <c r="L1" s="247"/>
      <c r="M1" s="247"/>
      <c r="N1" s="247"/>
      <c r="O1" s="243" t="s">
        <v>397</v>
      </c>
      <c r="P1" s="243"/>
      <c r="Q1" s="243"/>
      <c r="R1" s="60">
        <f>0%</f>
        <v>0</v>
      </c>
      <c r="S1" s="60"/>
      <c r="T1" s="60"/>
      <c r="U1" s="60"/>
    </row>
    <row r="2" spans="1:30" ht="70.5" customHeight="1" x14ac:dyDescent="0.25">
      <c r="A2" s="3"/>
      <c r="B2" s="365" t="s">
        <v>356</v>
      </c>
      <c r="C2" s="365"/>
      <c r="D2" s="365"/>
      <c r="E2" s="249" t="s">
        <v>5</v>
      </c>
      <c r="F2" s="249"/>
      <c r="G2" s="249"/>
      <c r="H2" s="249" t="s">
        <v>395</v>
      </c>
      <c r="I2" s="249"/>
      <c r="J2" s="249"/>
      <c r="K2" s="249" t="s">
        <v>396</v>
      </c>
      <c r="L2" s="249"/>
      <c r="M2" s="249"/>
      <c r="N2" s="249"/>
      <c r="O2" s="253"/>
      <c r="P2" s="253"/>
      <c r="Q2" s="253"/>
      <c r="R2" s="253"/>
      <c r="S2" s="253"/>
      <c r="T2" s="253"/>
      <c r="U2" s="253"/>
    </row>
    <row r="4" spans="1:30" ht="18.75" thickBot="1" x14ac:dyDescent="0.3">
      <c r="A4" s="375" t="s">
        <v>431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  <c r="Z4" s="376"/>
      <c r="AA4" s="376"/>
      <c r="AB4" s="376"/>
      <c r="AC4" s="376"/>
      <c r="AD4" s="376"/>
    </row>
    <row r="5" spans="1:30" ht="15.75" thickBot="1" x14ac:dyDescent="0.3">
      <c r="A5" s="418" t="s">
        <v>432</v>
      </c>
      <c r="B5" s="421" t="s">
        <v>433</v>
      </c>
      <c r="C5" s="424" t="s">
        <v>434</v>
      </c>
      <c r="D5" s="425"/>
      <c r="E5" s="372" t="s">
        <v>435</v>
      </c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  <c r="Z5" s="373"/>
      <c r="AA5" s="373"/>
      <c r="AB5" s="374"/>
      <c r="AC5" s="430" t="s">
        <v>427</v>
      </c>
      <c r="AD5" s="431"/>
    </row>
    <row r="6" spans="1:30" ht="15.75" customHeight="1" thickBot="1" x14ac:dyDescent="0.3">
      <c r="A6" s="419"/>
      <c r="B6" s="422"/>
      <c r="C6" s="426"/>
      <c r="D6" s="427"/>
      <c r="E6" s="434" t="s">
        <v>436</v>
      </c>
      <c r="F6" s="435"/>
      <c r="G6" s="339" t="s">
        <v>437</v>
      </c>
      <c r="H6" s="340"/>
      <c r="I6" s="436" t="s">
        <v>438</v>
      </c>
      <c r="J6" s="437"/>
      <c r="K6" s="341" t="s">
        <v>437</v>
      </c>
      <c r="L6" s="342"/>
      <c r="M6" s="438" t="s">
        <v>439</v>
      </c>
      <c r="N6" s="439"/>
      <c r="O6" s="343" t="s">
        <v>437</v>
      </c>
      <c r="P6" s="344"/>
      <c r="Q6" s="366" t="s">
        <v>447</v>
      </c>
      <c r="R6" s="367"/>
      <c r="S6" s="345" t="s">
        <v>437</v>
      </c>
      <c r="T6" s="346"/>
      <c r="U6" s="368" t="s">
        <v>448</v>
      </c>
      <c r="V6" s="369"/>
      <c r="W6" s="347" t="s">
        <v>437</v>
      </c>
      <c r="X6" s="348"/>
      <c r="Y6" s="370" t="s">
        <v>449</v>
      </c>
      <c r="Z6" s="371"/>
      <c r="AA6" s="349" t="s">
        <v>437</v>
      </c>
      <c r="AB6" s="350"/>
      <c r="AC6" s="432"/>
      <c r="AD6" s="433"/>
    </row>
    <row r="7" spans="1:30" x14ac:dyDescent="0.25">
      <c r="A7" s="419"/>
      <c r="B7" s="422"/>
      <c r="C7" s="428"/>
      <c r="D7" s="429"/>
      <c r="E7" s="408" t="s">
        <v>406</v>
      </c>
      <c r="F7" s="409"/>
      <c r="G7" s="408" t="s">
        <v>440</v>
      </c>
      <c r="H7" s="409"/>
      <c r="I7" s="410" t="s">
        <v>406</v>
      </c>
      <c r="J7" s="411"/>
      <c r="K7" s="410" t="s">
        <v>440</v>
      </c>
      <c r="L7" s="411"/>
      <c r="M7" s="412" t="s">
        <v>406</v>
      </c>
      <c r="N7" s="413"/>
      <c r="O7" s="412" t="s">
        <v>440</v>
      </c>
      <c r="P7" s="413"/>
      <c r="Q7" s="380" t="s">
        <v>406</v>
      </c>
      <c r="R7" s="381"/>
      <c r="S7" s="380" t="s">
        <v>440</v>
      </c>
      <c r="T7" s="381"/>
      <c r="U7" s="416" t="s">
        <v>406</v>
      </c>
      <c r="V7" s="417"/>
      <c r="W7" s="416" t="s">
        <v>440</v>
      </c>
      <c r="X7" s="417"/>
      <c r="Y7" s="351" t="s">
        <v>406</v>
      </c>
      <c r="Z7" s="352"/>
      <c r="AA7" s="351" t="s">
        <v>440</v>
      </c>
      <c r="AB7" s="352"/>
      <c r="AC7" s="414" t="s">
        <v>426</v>
      </c>
      <c r="AD7" s="415"/>
    </row>
    <row r="8" spans="1:30" ht="15.75" thickBot="1" x14ac:dyDescent="0.3">
      <c r="A8" s="420"/>
      <c r="B8" s="423"/>
      <c r="C8" s="143" t="s">
        <v>441</v>
      </c>
      <c r="D8" s="144" t="s">
        <v>442</v>
      </c>
      <c r="E8" s="162" t="s">
        <v>441</v>
      </c>
      <c r="F8" s="163" t="s">
        <v>442</v>
      </c>
      <c r="G8" s="162" t="s">
        <v>441</v>
      </c>
      <c r="H8" s="164" t="s">
        <v>442</v>
      </c>
      <c r="I8" s="165" t="s">
        <v>441</v>
      </c>
      <c r="J8" s="166" t="s">
        <v>442</v>
      </c>
      <c r="K8" s="165" t="s">
        <v>441</v>
      </c>
      <c r="L8" s="167" t="s">
        <v>442</v>
      </c>
      <c r="M8" s="168" t="s">
        <v>441</v>
      </c>
      <c r="N8" s="169" t="s">
        <v>442</v>
      </c>
      <c r="O8" s="170" t="s">
        <v>441</v>
      </c>
      <c r="P8" s="169" t="s">
        <v>442</v>
      </c>
      <c r="Q8" s="171" t="s">
        <v>441</v>
      </c>
      <c r="R8" s="172" t="s">
        <v>442</v>
      </c>
      <c r="S8" s="171" t="s">
        <v>441</v>
      </c>
      <c r="T8" s="173" t="s">
        <v>442</v>
      </c>
      <c r="U8" s="174" t="s">
        <v>441</v>
      </c>
      <c r="V8" s="175" t="s">
        <v>442</v>
      </c>
      <c r="W8" s="174" t="s">
        <v>441</v>
      </c>
      <c r="X8" s="176" t="s">
        <v>442</v>
      </c>
      <c r="Y8" s="177" t="s">
        <v>441</v>
      </c>
      <c r="Z8" s="178" t="s">
        <v>442</v>
      </c>
      <c r="AA8" s="179" t="s">
        <v>441</v>
      </c>
      <c r="AB8" s="178" t="s">
        <v>442</v>
      </c>
      <c r="AC8" s="145" t="s">
        <v>441</v>
      </c>
      <c r="AD8" s="146" t="s">
        <v>442</v>
      </c>
    </row>
    <row r="9" spans="1:30" ht="15.75" thickBot="1" x14ac:dyDescent="0.3">
      <c r="A9" s="147" t="str">
        <f>'02 - Planilha de Medição'!A6</f>
        <v xml:space="preserve"> 1 </v>
      </c>
      <c r="B9" s="148" t="str">
        <f>INDEX('02 - Planilha de Medição'!$A$6:$BI$125,MATCH('03 - Cronograma Inicial'!$A9,'02 - Planilha de Medição'!$A$6:$A$125,0),4)</f>
        <v>Administração Direta</v>
      </c>
      <c r="C9" s="149">
        <f>D9/$D$14</f>
        <v>2.1351903198223138E-2</v>
      </c>
      <c r="D9" s="180">
        <f>INDEX('02 - Planilha de Medição'!$A$6:$BI$125,MATCH('03 - Cronograma Inicial'!$A9,'02 - Planilha de Medição'!$A$6:$A$125,0),12)</f>
        <v>68670.06</v>
      </c>
      <c r="E9" s="150">
        <f>F9/$D$15</f>
        <v>4.1102424383826037E-3</v>
      </c>
      <c r="F9" s="180">
        <f>INDEX('02 - Planilha de Medição'!$A$6:$BI$125,MATCH('03 - Cronograma Inicial'!$A9,'02 - Planilha de Medição'!$A$6:$A$125,0),16)</f>
        <v>13218.99</v>
      </c>
      <c r="G9" s="150">
        <f>H9/$D$15</f>
        <v>0</v>
      </c>
      <c r="H9" s="180">
        <f>INDEX('02 - Planilha de Medição'!$A$6:$BI$125,MATCH('03 - Cronograma Inicial'!$A9,'02 - Planilha de Medição'!$A$6:$A$125,0),19)</f>
        <v>0</v>
      </c>
      <c r="I9" s="150">
        <f>J9/$D$15</f>
        <v>3.4476841640929674E-3</v>
      </c>
      <c r="J9" s="180">
        <f>INDEX('02 - Planilha de Medição'!$A$6:$BI$125,MATCH('03 - Cronograma Inicial'!$A9,'02 - Planilha de Medição'!$A$6:$A$125,0),23)</f>
        <v>11088.13</v>
      </c>
      <c r="K9" s="150">
        <f>L9/$D$15</f>
        <v>0</v>
      </c>
      <c r="L9" s="180">
        <f>INDEX('02 - Planilha de Medição'!$A$6:$BI$125,MATCH('03 - Cronograma Inicial'!$A9,'02 - Planilha de Medição'!$A$6:$A$125,0),26)</f>
        <v>0</v>
      </c>
      <c r="M9" s="150">
        <f>N9/$D$15</f>
        <v>3.4476841640929674E-3</v>
      </c>
      <c r="N9" s="180">
        <f>INDEX('02 - Planilha de Medição'!$A$6:$BI$125,MATCH('03 - Cronograma Inicial'!$A9,'02 - Planilha de Medição'!$A$6:$A$125,0),30)</f>
        <v>11088.13</v>
      </c>
      <c r="O9" s="150">
        <f>P9/$D$15</f>
        <v>0</v>
      </c>
      <c r="P9" s="180">
        <f>INDEX('02 - Planilha de Medição'!$A$6:$BI$125,MATCH('03 - Cronograma Inicial'!$A9,'02 - Planilha de Medição'!$A$6:$A$125,0),33)</f>
        <v>0</v>
      </c>
      <c r="Q9" s="150">
        <f>R9/$D$15</f>
        <v>3.4476841640929674E-3</v>
      </c>
      <c r="R9" s="180">
        <f>INDEX('02 - Planilha de Medição'!$A$6:$BI$125,MATCH('03 - Cronograma Inicial'!$A9,'02 - Planilha de Medição'!$A$6:$A$125,0),37)</f>
        <v>11088.13</v>
      </c>
      <c r="S9" s="150">
        <f>T9/$D$15</f>
        <v>0</v>
      </c>
      <c r="T9" s="180">
        <f>INDEX('02 - Planilha de Medição'!$A$6:$BI$125,MATCH('03 - Cronograma Inicial'!$A9,'02 - Planilha de Medição'!$A$6:$A$125,0),40)</f>
        <v>0</v>
      </c>
      <c r="U9" s="150">
        <f>V9/$D$15</f>
        <v>3.4476841640929674E-3</v>
      </c>
      <c r="V9" s="180">
        <f>INDEX('02 - Planilha de Medição'!$A$6:$BI$125,MATCH('03 - Cronograma Inicial'!$A9,'02 - Planilha de Medição'!$A$6:$A$125,0),44)</f>
        <v>11088.13</v>
      </c>
      <c r="W9" s="150">
        <f>X9/$D$15</f>
        <v>0</v>
      </c>
      <c r="X9" s="180">
        <f>INDEX('02 - Planilha de Medição'!$A$6:$BI$125,MATCH('03 - Cronograma Inicial'!$A9,'02 - Planilha de Medição'!$A$6:$A$125,0),47)</f>
        <v>0</v>
      </c>
      <c r="Y9" s="150">
        <f>Z9/$D$15</f>
        <v>3.4509241034686644E-3</v>
      </c>
      <c r="Z9" s="180">
        <f>INDEX('02 - Planilha de Medição'!$A$6:$BI$125,MATCH('03 - Cronograma Inicial'!$A9,'02 - Planilha de Medição'!$A$6:$A$125,0),51)</f>
        <v>11098.55</v>
      </c>
      <c r="AA9" s="150">
        <f>AB9/$D$15</f>
        <v>0</v>
      </c>
      <c r="AB9" s="180">
        <f>INDEX('02 - Planilha de Medição'!$A$6:$BI$125,MATCH('03 - Cronograma Inicial'!$A9,'02 - Planilha de Medição'!$A$6:$A$125,0),54)</f>
        <v>0</v>
      </c>
      <c r="AC9" s="151">
        <f t="shared" ref="AC9:AC12" si="0">AD9/$D9</f>
        <v>0</v>
      </c>
      <c r="AD9" s="152">
        <f>SUM(H9,L9,P9,T9,X9,AB9)</f>
        <v>0</v>
      </c>
    </row>
    <row r="10" spans="1:30" ht="15.75" thickBot="1" x14ac:dyDescent="0.3">
      <c r="A10" s="153" t="str">
        <f>'02 - Planilha de Medição'!A10</f>
        <v xml:space="preserve"> 2 </v>
      </c>
      <c r="B10" s="148" t="str">
        <f>INDEX('02 - Planilha de Medição'!$A$6:$BI$125,MATCH('03 - Cronograma Inicial'!$A10,'02 - Planilha de Medição'!$A$6:$A$125,0),4)</f>
        <v>Demolição</v>
      </c>
      <c r="C10" s="149">
        <f t="shared" ref="C10:C12" si="1">D10/$D$14</f>
        <v>9.4243586651942296E-2</v>
      </c>
      <c r="D10" s="180">
        <f>INDEX('02 - Planilha de Medição'!$A$6:$BI$125,MATCH('03 - Cronograma Inicial'!$A10,'02 - Planilha de Medição'!$A$6:$A$125,0),12)</f>
        <v>303097.69999999995</v>
      </c>
      <c r="E10" s="150">
        <f t="shared" ref="E10:G12" si="2">F10/$D$15</f>
        <v>2.223957196284072E-2</v>
      </c>
      <c r="F10" s="180">
        <f>INDEX('02 - Planilha de Medição'!$A$6:$BI$125,MATCH('03 - Cronograma Inicial'!$A10,'02 - Planilha de Medição'!$A$6:$A$125,0),16)</f>
        <v>71524.899999999994</v>
      </c>
      <c r="G10" s="150">
        <f t="shared" si="2"/>
        <v>0</v>
      </c>
      <c r="H10" s="180">
        <f>INDEX('02 - Planilha de Medição'!$A$6:$BI$125,MATCH('03 - Cronograma Inicial'!$A10,'02 - Planilha de Medição'!$A$6:$A$125,0),19)</f>
        <v>0</v>
      </c>
      <c r="I10" s="150">
        <f t="shared" ref="I10:K10" si="3">J10/$D$15</f>
        <v>4.7963875957011876E-2</v>
      </c>
      <c r="J10" s="180">
        <f>INDEX('02 - Planilha de Medição'!$A$6:$BI$125,MATCH('03 - Cronograma Inicial'!$A10,'02 - Planilha de Medição'!$A$6:$A$125,0),23)</f>
        <v>154257.08000000002</v>
      </c>
      <c r="K10" s="150">
        <f t="shared" si="3"/>
        <v>0</v>
      </c>
      <c r="L10" s="180">
        <f>INDEX('02 - Planilha de Medição'!$A$6:$BI$125,MATCH('03 - Cronograma Inicial'!$A10,'02 - Planilha de Medição'!$A$6:$A$125,0),26)</f>
        <v>0</v>
      </c>
      <c r="M10" s="150">
        <f t="shared" ref="M10:O10" si="4">N10/$D$15</f>
        <v>2.4040138732089714E-2</v>
      </c>
      <c r="N10" s="180">
        <f>INDEX('02 - Planilha de Medição'!$A$6:$BI$125,MATCH('03 - Cronograma Inicial'!$A10,'02 - Planilha de Medição'!$A$6:$A$125,0),30)</f>
        <v>77315.72</v>
      </c>
      <c r="O10" s="150">
        <f t="shared" si="4"/>
        <v>0</v>
      </c>
      <c r="P10" s="180">
        <f>INDEX('02 - Planilha de Medição'!$A$6:$BI$125,MATCH('03 - Cronograma Inicial'!$A10,'02 - Planilha de Medição'!$A$6:$A$125,0),33)</f>
        <v>0</v>
      </c>
      <c r="Q10" s="150">
        <f t="shared" ref="Q10:S10" si="5">R10/$D$15</f>
        <v>0</v>
      </c>
      <c r="R10" s="180">
        <f>INDEX('02 - Planilha de Medição'!$A$6:$BI$125,MATCH('03 - Cronograma Inicial'!$A10,'02 - Planilha de Medição'!$A$6:$A$125,0),37)</f>
        <v>0</v>
      </c>
      <c r="S10" s="150">
        <f t="shared" si="5"/>
        <v>0</v>
      </c>
      <c r="T10" s="180">
        <f>INDEX('02 - Planilha de Medição'!$A$6:$BI$125,MATCH('03 - Cronograma Inicial'!$A10,'02 - Planilha de Medição'!$A$6:$A$125,0),40)</f>
        <v>0</v>
      </c>
      <c r="U10" s="150">
        <f t="shared" ref="U10:W10" si="6">V10/$D$15</f>
        <v>0</v>
      </c>
      <c r="V10" s="180">
        <f>INDEX('02 - Planilha de Medição'!$A$6:$BI$125,MATCH('03 - Cronograma Inicial'!$A10,'02 - Planilha de Medição'!$A$6:$A$125,0),44)</f>
        <v>0</v>
      </c>
      <c r="W10" s="150">
        <f t="shared" si="6"/>
        <v>0</v>
      </c>
      <c r="X10" s="180">
        <f>INDEX('02 - Planilha de Medição'!$A$6:$BI$125,MATCH('03 - Cronograma Inicial'!$A10,'02 - Planilha de Medição'!$A$6:$A$125,0),47)</f>
        <v>0</v>
      </c>
      <c r="Y10" s="150">
        <f t="shared" ref="Y10:AA10" si="7">Z10/$D$15</f>
        <v>0</v>
      </c>
      <c r="Z10" s="180">
        <f>INDEX('02 - Planilha de Medição'!$A$6:$BI$125,MATCH('03 - Cronograma Inicial'!$A10,'02 - Planilha de Medição'!$A$6:$A$125,0),51)</f>
        <v>0</v>
      </c>
      <c r="AA10" s="150">
        <f t="shared" si="7"/>
        <v>0</v>
      </c>
      <c r="AB10" s="180">
        <f>INDEX('02 - Planilha de Medição'!$A$6:$BI$125,MATCH('03 - Cronograma Inicial'!$A10,'02 - Planilha de Medição'!$A$6:$A$125,0),54)</f>
        <v>0</v>
      </c>
      <c r="AC10" s="151">
        <f t="shared" si="0"/>
        <v>0</v>
      </c>
      <c r="AD10" s="152">
        <f t="shared" ref="AD10:AD12" si="8">SUM(H10,L10,P10,T10,X10,AB10)</f>
        <v>0</v>
      </c>
    </row>
    <row r="11" spans="1:30" ht="15.75" thickBot="1" x14ac:dyDescent="0.3">
      <c r="A11" s="153" t="str">
        <f>'02 - Planilha de Medição'!A45</f>
        <v xml:space="preserve"> 3 </v>
      </c>
      <c r="B11" s="148" t="str">
        <f>INDEX('02 - Planilha de Medição'!$A$6:$BI$125,MATCH('03 - Cronograma Inicial'!$A11,'02 - Planilha de Medição'!$A$6:$A$125,0),4)</f>
        <v>Instalações e Serviços</v>
      </c>
      <c r="C11" s="149">
        <f t="shared" si="1"/>
        <v>0.88055912809139503</v>
      </c>
      <c r="D11" s="180">
        <f>INDEX('02 - Planilha de Medição'!$A$6:$BI$125,MATCH('03 - Cronograma Inicial'!$A11,'02 - Planilha de Medição'!$A$6:$A$125,0),12)</f>
        <v>2831974.63</v>
      </c>
      <c r="E11" s="150">
        <f t="shared" si="2"/>
        <v>0.10635471634865575</v>
      </c>
      <c r="F11" s="180">
        <f>INDEX('02 - Planilha de Medição'!$A$6:$BI$125,MATCH('03 - Cronograma Inicial'!$A11,'02 - Planilha de Medição'!$A$6:$A$125,0),16)</f>
        <v>342048.42</v>
      </c>
      <c r="G11" s="150">
        <f t="shared" si="2"/>
        <v>0</v>
      </c>
      <c r="H11" s="180">
        <f>INDEX('02 - Planilha de Medição'!$A$6:$BI$125,MATCH('03 - Cronograma Inicial'!$A11,'02 - Planilha de Medição'!$A$6:$A$125,0),19)</f>
        <v>0</v>
      </c>
      <c r="I11" s="150">
        <f t="shared" ref="I11:K11" si="9">J11/$D$15</f>
        <v>7.9979361772737623E-2</v>
      </c>
      <c r="J11" s="180">
        <f>INDEX('02 - Planilha de Medição'!$A$6:$BI$125,MATCH('03 - Cronograma Inicial'!$A11,'02 - Planilha de Medição'!$A$6:$A$125,0),23)</f>
        <v>257222.38999999998</v>
      </c>
      <c r="K11" s="150">
        <f t="shared" si="9"/>
        <v>0</v>
      </c>
      <c r="L11" s="180">
        <f>INDEX('02 - Planilha de Medição'!$A$6:$BI$125,MATCH('03 - Cronograma Inicial'!$A11,'02 - Planilha de Medição'!$A$6:$A$125,0),26)</f>
        <v>0</v>
      </c>
      <c r="M11" s="150">
        <f t="shared" ref="M11:O11" si="10">N11/$D$15</f>
        <v>0.13015159222374253</v>
      </c>
      <c r="N11" s="180">
        <f>INDEX('02 - Planilha de Medição'!$A$6:$BI$125,MATCH('03 - Cronograma Inicial'!$A11,'02 - Planilha de Medição'!$A$6:$A$125,0),30)</f>
        <v>418581.77999999997</v>
      </c>
      <c r="O11" s="150">
        <f t="shared" si="10"/>
        <v>0</v>
      </c>
      <c r="P11" s="180">
        <f>INDEX('02 - Planilha de Medição'!$A$6:$BI$125,MATCH('03 - Cronograma Inicial'!$A11,'02 - Planilha de Medição'!$A$6:$A$125,0),33)</f>
        <v>0</v>
      </c>
      <c r="Q11" s="150">
        <f t="shared" ref="Q11:S11" si="11">R11/$D$15</f>
        <v>0.16646373514713225</v>
      </c>
      <c r="R11" s="180">
        <f>INDEX('02 - Planilha de Medição'!$A$6:$BI$125,MATCH('03 - Cronograma Inicial'!$A11,'02 - Planilha de Medição'!$A$6:$A$125,0),37)</f>
        <v>535365.61</v>
      </c>
      <c r="S11" s="150">
        <f t="shared" si="11"/>
        <v>0</v>
      </c>
      <c r="T11" s="180">
        <f>INDEX('02 - Planilha de Medição'!$A$6:$BI$125,MATCH('03 - Cronograma Inicial'!$A11,'02 - Planilha de Medição'!$A$6:$A$125,0),40)</f>
        <v>0</v>
      </c>
      <c r="U11" s="150">
        <f t="shared" ref="U11:W11" si="12">V11/$D$15</f>
        <v>0.18203733706136557</v>
      </c>
      <c r="V11" s="180">
        <f>INDEX('02 - Planilha de Medição'!$A$6:$BI$125,MATCH('03 - Cronograma Inicial'!$A11,'02 - Planilha de Medição'!$A$6:$A$125,0),44)</f>
        <v>585452.02</v>
      </c>
      <c r="W11" s="150">
        <f t="shared" si="12"/>
        <v>0</v>
      </c>
      <c r="X11" s="180">
        <f>INDEX('02 - Planilha de Medição'!$A$6:$BI$125,MATCH('03 - Cronograma Inicial'!$A11,'02 - Planilha de Medição'!$A$6:$A$125,0),47)</f>
        <v>0</v>
      </c>
      <c r="Y11" s="150">
        <f t="shared" ref="Y11:AA11" si="13">Z11/$D$15</f>
        <v>0.21557238553776137</v>
      </c>
      <c r="Z11" s="180">
        <f>INDEX('02 - Planilha de Medição'!$A$6:$BI$125,MATCH('03 - Cronograma Inicial'!$A11,'02 - Planilha de Medição'!$A$6:$A$125,0),51)</f>
        <v>693304.41</v>
      </c>
      <c r="AA11" s="150">
        <f t="shared" si="13"/>
        <v>0</v>
      </c>
      <c r="AB11" s="180">
        <f>INDEX('02 - Planilha de Medição'!$A$6:$BI$125,MATCH('03 - Cronograma Inicial'!$A11,'02 - Planilha de Medição'!$A$6:$A$125,0),54)</f>
        <v>0</v>
      </c>
      <c r="AC11" s="151">
        <f t="shared" si="0"/>
        <v>0</v>
      </c>
      <c r="AD11" s="152">
        <f t="shared" si="8"/>
        <v>0</v>
      </c>
    </row>
    <row r="12" spans="1:30" ht="15.75" thickBot="1" x14ac:dyDescent="0.3">
      <c r="A12" s="153" t="str">
        <f>'02 - Planilha de Medição'!A122</f>
        <v xml:space="preserve"> 4 </v>
      </c>
      <c r="B12" s="148" t="str">
        <f>INDEX('02 - Planilha de Medição'!$A$6:$BI$125,MATCH('03 - Cronograma Inicial'!$A12,'02 - Planilha de Medição'!$A$6:$A$125,0),4)</f>
        <v>Descarte e outros</v>
      </c>
      <c r="C12" s="149">
        <f t="shared" si="1"/>
        <v>3.845382058439577E-3</v>
      </c>
      <c r="D12" s="180">
        <f>INDEX('02 - Planilha de Medição'!$A$6:$BI$125,MATCH('03 - Cronograma Inicial'!$A12,'02 - Planilha de Medição'!$A$6:$A$125,0),12)</f>
        <v>12367.17</v>
      </c>
      <c r="E12" s="150">
        <f t="shared" si="2"/>
        <v>2.1103758666729007E-4</v>
      </c>
      <c r="F12" s="180">
        <f>INDEX('02 - Planilha de Medição'!$A$6:$BI$125,MATCH('03 - Cronograma Inicial'!$A12,'02 - Planilha de Medição'!$A$6:$A$125,0),16)</f>
        <v>678.72</v>
      </c>
      <c r="G12" s="150">
        <f t="shared" si="2"/>
        <v>0</v>
      </c>
      <c r="H12" s="180">
        <f>INDEX('02 - Planilha de Medição'!$A$6:$BI$125,MATCH('03 - Cronograma Inicial'!$A12,'02 - Planilha de Medição'!$A$6:$A$125,0),19)</f>
        <v>0</v>
      </c>
      <c r="I12" s="150">
        <f t="shared" ref="I12:K12" si="14">J12/$D$15</f>
        <v>2.1103758666729007E-4</v>
      </c>
      <c r="J12" s="180">
        <f>INDEX('02 - Planilha de Medição'!$A$6:$BI$125,MATCH('03 - Cronograma Inicial'!$A12,'02 - Planilha de Medição'!$A$6:$A$125,0),23)</f>
        <v>678.72</v>
      </c>
      <c r="K12" s="150">
        <f t="shared" si="14"/>
        <v>0</v>
      </c>
      <c r="L12" s="180">
        <f>INDEX('02 - Planilha de Medição'!$A$6:$BI$125,MATCH('03 - Cronograma Inicial'!$A12,'02 - Planilha de Medição'!$A$6:$A$125,0),26)</f>
        <v>0</v>
      </c>
      <c r="M12" s="150">
        <f t="shared" ref="M12:O12" si="15">N12/$D$15</f>
        <v>3.6645828694965241E-4</v>
      </c>
      <c r="N12" s="180">
        <f>INDEX('02 - Planilha de Medição'!$A$6:$BI$125,MATCH('03 - Cronograma Inicial'!$A12,'02 - Planilha de Medição'!$A$6:$A$125,0),30)</f>
        <v>1178.5700000000002</v>
      </c>
      <c r="O12" s="150">
        <f t="shared" si="15"/>
        <v>0</v>
      </c>
      <c r="P12" s="180">
        <f>INDEX('02 - Planilha de Medição'!$A$6:$BI$125,MATCH('03 - Cronograma Inicial'!$A12,'02 - Planilha de Medição'!$A$6:$A$125,0),33)</f>
        <v>0</v>
      </c>
      <c r="Q12" s="150">
        <f t="shared" ref="Q12:S12" si="16">R12/$D$15</f>
        <v>3.6645828694965241E-4</v>
      </c>
      <c r="R12" s="180">
        <f>INDEX('02 - Planilha de Medição'!$A$6:$BI$125,MATCH('03 - Cronograma Inicial'!$A12,'02 - Planilha de Medição'!$A$6:$A$125,0),37)</f>
        <v>1178.5700000000002</v>
      </c>
      <c r="S12" s="150">
        <f t="shared" si="16"/>
        <v>0</v>
      </c>
      <c r="T12" s="180">
        <f>INDEX('02 - Planilha de Medição'!$A$6:$BI$125,MATCH('03 - Cronograma Inicial'!$A12,'02 - Planilha de Medição'!$A$6:$A$125,0),40)</f>
        <v>0</v>
      </c>
      <c r="U12" s="150">
        <f t="shared" ref="U12:W12" si="17">V12/$D$15</f>
        <v>3.6645828694965241E-4</v>
      </c>
      <c r="V12" s="180">
        <f>INDEX('02 - Planilha de Medição'!$A$6:$BI$125,MATCH('03 - Cronograma Inicial'!$A12,'02 - Planilha de Medição'!$A$6:$A$125,0),44)</f>
        <v>1178.5700000000002</v>
      </c>
      <c r="W12" s="150">
        <f t="shared" si="17"/>
        <v>0</v>
      </c>
      <c r="X12" s="180">
        <f>INDEX('02 - Planilha de Medição'!$A$6:$BI$125,MATCH('03 - Cronograma Inicial'!$A12,'02 - Planilha de Medição'!$A$6:$A$125,0),47)</f>
        <v>0</v>
      </c>
      <c r="Y12" s="150">
        <f t="shared" ref="Y12:AA12" si="18">Z12/$D$15</f>
        <v>2.3239320242560398E-3</v>
      </c>
      <c r="Z12" s="180">
        <f>INDEX('02 - Planilha de Medição'!$A$6:$BI$125,MATCH('03 - Cronograma Inicial'!$A12,'02 - Planilha de Medição'!$A$6:$A$125,0),51)</f>
        <v>7474.02</v>
      </c>
      <c r="AA12" s="150">
        <f t="shared" si="18"/>
        <v>0</v>
      </c>
      <c r="AB12" s="180">
        <f>INDEX('02 - Planilha de Medição'!$A$6:$BI$125,MATCH('03 - Cronograma Inicial'!$A12,'02 - Planilha de Medição'!$A$6:$A$125,0),54)</f>
        <v>0</v>
      </c>
      <c r="AC12" s="151">
        <f t="shared" si="0"/>
        <v>0</v>
      </c>
      <c r="AD12" s="152">
        <f t="shared" si="8"/>
        <v>0</v>
      </c>
    </row>
    <row r="13" spans="1:30" x14ac:dyDescent="0.25">
      <c r="A13" s="395"/>
      <c r="B13" s="396"/>
      <c r="C13" s="396"/>
      <c r="D13" s="397"/>
      <c r="E13" s="398" t="s">
        <v>443</v>
      </c>
      <c r="F13" s="399"/>
      <c r="G13" s="400" t="s">
        <v>427</v>
      </c>
      <c r="H13" s="401"/>
      <c r="I13" s="402" t="s">
        <v>443</v>
      </c>
      <c r="J13" s="403"/>
      <c r="K13" s="404" t="s">
        <v>427</v>
      </c>
      <c r="L13" s="405"/>
      <c r="M13" s="406" t="s">
        <v>443</v>
      </c>
      <c r="N13" s="407"/>
      <c r="O13" s="382" t="s">
        <v>427</v>
      </c>
      <c r="P13" s="383"/>
      <c r="Q13" s="353" t="s">
        <v>443</v>
      </c>
      <c r="R13" s="354"/>
      <c r="S13" s="355" t="s">
        <v>427</v>
      </c>
      <c r="T13" s="356"/>
      <c r="U13" s="357" t="s">
        <v>443</v>
      </c>
      <c r="V13" s="358"/>
      <c r="W13" s="359" t="s">
        <v>427</v>
      </c>
      <c r="X13" s="360"/>
      <c r="Y13" s="361" t="s">
        <v>443</v>
      </c>
      <c r="Z13" s="362"/>
      <c r="AA13" s="363" t="s">
        <v>427</v>
      </c>
      <c r="AB13" s="364"/>
      <c r="AC13" s="384">
        <f>AD13/$D$15</f>
        <v>0</v>
      </c>
      <c r="AD13" s="386">
        <f>SUM(AD9:AD12)</f>
        <v>0</v>
      </c>
    </row>
    <row r="14" spans="1:30" ht="15.75" thickBot="1" x14ac:dyDescent="0.3">
      <c r="A14" s="388" t="s">
        <v>444</v>
      </c>
      <c r="B14" s="389"/>
      <c r="C14" s="154"/>
      <c r="D14" s="155">
        <f>SUM(D9:D12)</f>
        <v>3216109.5599999996</v>
      </c>
      <c r="E14" s="221">
        <f>F14/$D$15</f>
        <v>0.13291556833654636</v>
      </c>
      <c r="F14" s="222">
        <f>SUM(F9:F12)</f>
        <v>427471.02999999997</v>
      </c>
      <c r="G14" s="223">
        <f>H14/$D$15</f>
        <v>0</v>
      </c>
      <c r="H14" s="224">
        <f>SUM(H9:H12)</f>
        <v>0</v>
      </c>
      <c r="I14" s="213">
        <f>J14/$D$15</f>
        <v>0.13160195948050973</v>
      </c>
      <c r="J14" s="214">
        <f>SUM(J9:J12)</f>
        <v>423246.31999999995</v>
      </c>
      <c r="K14" s="215">
        <f>L14/$D$15</f>
        <v>0</v>
      </c>
      <c r="L14" s="216">
        <f>SUM(L9:L12)</f>
        <v>0</v>
      </c>
      <c r="M14" s="205">
        <f>N14/$D$15</f>
        <v>0.15800587340687489</v>
      </c>
      <c r="N14" s="206">
        <f>SUM(N9:N12)</f>
        <v>508164.2</v>
      </c>
      <c r="O14" s="207">
        <f>P14/$D$15</f>
        <v>0</v>
      </c>
      <c r="P14" s="208">
        <f>SUM(P9:P12)</f>
        <v>0</v>
      </c>
      <c r="Q14" s="197">
        <f>R14/$D$15</f>
        <v>0.17027787759817486</v>
      </c>
      <c r="R14" s="198">
        <f>SUM(R9:R12)</f>
        <v>547632.30999999994</v>
      </c>
      <c r="S14" s="199">
        <f>T14/$D$15</f>
        <v>0</v>
      </c>
      <c r="T14" s="200">
        <f>SUM(T9:T12)</f>
        <v>0</v>
      </c>
      <c r="U14" s="189">
        <f>V14/$D$15</f>
        <v>0.18585147951240816</v>
      </c>
      <c r="V14" s="190">
        <f>SUM(V9:V12)</f>
        <v>597718.72</v>
      </c>
      <c r="W14" s="191">
        <f>X14/$D$15</f>
        <v>0</v>
      </c>
      <c r="X14" s="192">
        <f>SUM(X9:X12)</f>
        <v>0</v>
      </c>
      <c r="Y14" s="181">
        <f>Z14/$D$15</f>
        <v>0.22134724166548611</v>
      </c>
      <c r="Z14" s="182">
        <f>SUM(Z9:Z12)</f>
        <v>711876.9800000001</v>
      </c>
      <c r="AA14" s="183">
        <f>AB14/$D$15</f>
        <v>0</v>
      </c>
      <c r="AB14" s="184">
        <f>SUM(AB9:AB12)</f>
        <v>0</v>
      </c>
      <c r="AC14" s="385"/>
      <c r="AD14" s="387"/>
    </row>
    <row r="15" spans="1:30" ht="15.75" thickBot="1" x14ac:dyDescent="0.3">
      <c r="A15" s="390" t="s">
        <v>445</v>
      </c>
      <c r="B15" s="391"/>
      <c r="C15" s="154"/>
      <c r="D15" s="155">
        <f>D14</f>
        <v>3216109.5599999996</v>
      </c>
      <c r="E15" s="225"/>
      <c r="F15" s="226"/>
      <c r="G15" s="227"/>
      <c r="H15" s="228"/>
      <c r="I15" s="217"/>
      <c r="J15" s="218"/>
      <c r="K15" s="219"/>
      <c r="L15" s="220"/>
      <c r="M15" s="209"/>
      <c r="N15" s="210"/>
      <c r="O15" s="211"/>
      <c r="P15" s="212"/>
      <c r="Q15" s="201"/>
      <c r="R15" s="202"/>
      <c r="S15" s="203"/>
      <c r="T15" s="204"/>
      <c r="U15" s="193"/>
      <c r="V15" s="194"/>
      <c r="W15" s="195"/>
      <c r="X15" s="196"/>
      <c r="Y15" s="185"/>
      <c r="Z15" s="186"/>
      <c r="AA15" s="187"/>
      <c r="AB15" s="188"/>
      <c r="AC15" s="160"/>
    </row>
    <row r="16" spans="1:30" ht="15.75" thickBot="1" x14ac:dyDescent="0.3">
      <c r="A16" s="392"/>
      <c r="B16" s="393"/>
      <c r="C16" s="393"/>
      <c r="D16" s="394"/>
      <c r="E16" s="336"/>
      <c r="F16" s="337"/>
      <c r="G16" s="337"/>
      <c r="H16" s="338"/>
      <c r="I16" s="336"/>
      <c r="J16" s="337"/>
      <c r="K16" s="337"/>
      <c r="L16" s="338"/>
      <c r="M16" s="336"/>
      <c r="N16" s="337"/>
      <c r="O16" s="337"/>
      <c r="P16" s="338"/>
      <c r="Q16" s="336"/>
      <c r="R16" s="337"/>
      <c r="S16" s="337"/>
      <c r="T16" s="338"/>
      <c r="U16" s="336"/>
      <c r="V16" s="337"/>
      <c r="W16" s="337"/>
      <c r="X16" s="338"/>
      <c r="Y16" s="336"/>
      <c r="Z16" s="337"/>
      <c r="AA16" s="337"/>
      <c r="AB16" s="338"/>
      <c r="AC16" s="161"/>
    </row>
    <row r="17" spans="1:29" ht="15.75" thickBot="1" x14ac:dyDescent="0.3">
      <c r="A17" s="377" t="s">
        <v>446</v>
      </c>
      <c r="B17" s="378"/>
      <c r="C17" s="378"/>
      <c r="D17" s="379"/>
      <c r="E17" s="156">
        <f>F17/$D$15</f>
        <v>0.13291556833654636</v>
      </c>
      <c r="F17" s="157">
        <f>F14</f>
        <v>427471.02999999997</v>
      </c>
      <c r="G17" s="158">
        <f>H17/$D$15</f>
        <v>0</v>
      </c>
      <c r="H17" s="159">
        <f>H14</f>
        <v>0</v>
      </c>
      <c r="I17" s="156">
        <f>J17/$D$15</f>
        <v>0.26451752781705606</v>
      </c>
      <c r="J17" s="157">
        <f>SUM(J14,F17)</f>
        <v>850717.34999999986</v>
      </c>
      <c r="K17" s="158">
        <f>L17/$D$15</f>
        <v>0</v>
      </c>
      <c r="L17" s="157">
        <f>SUM(L14,H17)</f>
        <v>0</v>
      </c>
      <c r="M17" s="156">
        <f>N17/$D$15</f>
        <v>0.42252340122393095</v>
      </c>
      <c r="N17" s="157">
        <f>SUM(N14,J17)</f>
        <v>1358881.5499999998</v>
      </c>
      <c r="O17" s="158">
        <f>P17/$D$15</f>
        <v>0</v>
      </c>
      <c r="P17" s="157">
        <f>SUM(P14,L17)</f>
        <v>0</v>
      </c>
      <c r="Q17" s="156">
        <f>R17/$D$15</f>
        <v>0.59280127882210587</v>
      </c>
      <c r="R17" s="157">
        <f>SUM(R14,N17)</f>
        <v>1906513.8599999999</v>
      </c>
      <c r="S17" s="158">
        <f>T17/$D$15</f>
        <v>0</v>
      </c>
      <c r="T17" s="157">
        <f>SUM(T14,P17)</f>
        <v>0</v>
      </c>
      <c r="U17" s="156">
        <f>V17/$D$15</f>
        <v>0.77865275833451408</v>
      </c>
      <c r="V17" s="157">
        <f>SUM(V14,R17)</f>
        <v>2504232.58</v>
      </c>
      <c r="W17" s="158">
        <f>X17/$D$15</f>
        <v>0</v>
      </c>
      <c r="X17" s="157">
        <f>SUM(X14,T17)</f>
        <v>0</v>
      </c>
      <c r="Y17" s="156">
        <f>Z17/$D$15</f>
        <v>1.0000000000000002</v>
      </c>
      <c r="Z17" s="157">
        <f>SUM(Z14,V17)</f>
        <v>3216109.56</v>
      </c>
      <c r="AA17" s="158">
        <f>AB17/$D$15</f>
        <v>0</v>
      </c>
      <c r="AB17" s="157">
        <f>SUM(AB14,X17)</f>
        <v>0</v>
      </c>
      <c r="AC17" s="161"/>
    </row>
  </sheetData>
  <mergeCells count="67">
    <mergeCell ref="A5:A8"/>
    <mergeCell ref="B5:B8"/>
    <mergeCell ref="C5:D7"/>
    <mergeCell ref="AC5:AD6"/>
    <mergeCell ref="E6:F6"/>
    <mergeCell ref="I6:J6"/>
    <mergeCell ref="M6:N6"/>
    <mergeCell ref="E7:F7"/>
    <mergeCell ref="AC7:AD7"/>
    <mergeCell ref="S7:T7"/>
    <mergeCell ref="U7:V7"/>
    <mergeCell ref="W7:X7"/>
    <mergeCell ref="Y7:Z7"/>
    <mergeCell ref="G7:H7"/>
    <mergeCell ref="I7:J7"/>
    <mergeCell ref="K7:L7"/>
    <mergeCell ref="M7:N7"/>
    <mergeCell ref="O7:P7"/>
    <mergeCell ref="M16:P16"/>
    <mergeCell ref="A13:D13"/>
    <mergeCell ref="E13:F13"/>
    <mergeCell ref="G13:H13"/>
    <mergeCell ref="I13:J13"/>
    <mergeCell ref="K13:L13"/>
    <mergeCell ref="M13:N13"/>
    <mergeCell ref="A14:B14"/>
    <mergeCell ref="A15:B15"/>
    <mergeCell ref="A16:D16"/>
    <mergeCell ref="E16:H16"/>
    <mergeCell ref="I16:L16"/>
    <mergeCell ref="Y6:Z6"/>
    <mergeCell ref="E5:AB5"/>
    <mergeCell ref="A4:AD4"/>
    <mergeCell ref="A17:D17"/>
    <mergeCell ref="E1:G1"/>
    <mergeCell ref="H1:J1"/>
    <mergeCell ref="K1:N1"/>
    <mergeCell ref="O1:Q1"/>
    <mergeCell ref="E2:G2"/>
    <mergeCell ref="H2:J2"/>
    <mergeCell ref="K2:N2"/>
    <mergeCell ref="O2:Q2"/>
    <mergeCell ref="Q7:R7"/>
    <mergeCell ref="O13:P13"/>
    <mergeCell ref="AC13:AC14"/>
    <mergeCell ref="AD13:AD14"/>
    <mergeCell ref="R2:U2"/>
    <mergeCell ref="B2:D2"/>
    <mergeCell ref="B1:D1"/>
    <mergeCell ref="Q6:R6"/>
    <mergeCell ref="U6:V6"/>
    <mergeCell ref="Q16:T16"/>
    <mergeCell ref="U16:X16"/>
    <mergeCell ref="Y16:AB16"/>
    <mergeCell ref="G6:H6"/>
    <mergeCell ref="K6:L6"/>
    <mergeCell ref="O6:P6"/>
    <mergeCell ref="S6:T6"/>
    <mergeCell ref="W6:X6"/>
    <mergeCell ref="AA6:AB6"/>
    <mergeCell ref="AA7:AB7"/>
    <mergeCell ref="Q13:R13"/>
    <mergeCell ref="S13:T13"/>
    <mergeCell ref="U13:V13"/>
    <mergeCell ref="W13:X13"/>
    <mergeCell ref="Y13:Z13"/>
    <mergeCell ref="AA13:AB13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1CCAF-E229-484F-BC0E-063CDC61B6AE}">
  <sheetPr>
    <tabColor rgb="FFC00000"/>
    <pageSetUpPr fitToPage="1"/>
  </sheetPr>
  <dimension ref="A1:AMJ53"/>
  <sheetViews>
    <sheetView showGridLines="0" zoomScale="70" zoomScaleNormal="70" zoomScaleSheetLayoutView="70" workbookViewId="0">
      <selection activeCell="C32" sqref="C32"/>
    </sheetView>
  </sheetViews>
  <sheetFormatPr defaultColWidth="0" defaultRowHeight="15" x14ac:dyDescent="0.25"/>
  <cols>
    <col min="1" max="1" width="25.42578125" style="19" customWidth="1"/>
    <col min="2" max="2" width="8.140625" style="19" customWidth="1"/>
    <col min="3" max="3" width="49.140625" style="19" customWidth="1"/>
    <col min="4" max="5" width="16.7109375" style="20" customWidth="1"/>
    <col min="6" max="6" width="15.85546875" style="19" customWidth="1"/>
    <col min="7" max="7" width="16.5703125" style="19" customWidth="1"/>
    <col min="8" max="8" width="13.5703125" style="19" customWidth="1"/>
    <col min="9" max="10" width="9.140625" style="19" customWidth="1"/>
    <col min="11" max="11" width="10.28515625" style="19" customWidth="1"/>
    <col min="12" max="13" width="9.140625" style="19" customWidth="1"/>
    <col min="14" max="1022" width="0" style="19" hidden="1" customWidth="1"/>
    <col min="1023" max="1024" width="0" style="50" hidden="1" customWidth="1"/>
    <col min="1025" max="16384" width="9.140625" style="50" hidden="1"/>
  </cols>
  <sheetData>
    <row r="1" spans="1:7" ht="15.75" thickBot="1" x14ac:dyDescent="0.3"/>
    <row r="2" spans="1:7" ht="21.75" customHeight="1" thickTop="1" thickBot="1" x14ac:dyDescent="0.3">
      <c r="A2" s="441"/>
      <c r="B2" s="444" t="s">
        <v>357</v>
      </c>
      <c r="C2" s="444"/>
      <c r="D2" s="444"/>
      <c r="E2" s="444"/>
      <c r="F2" s="444"/>
      <c r="G2" s="445"/>
    </row>
    <row r="3" spans="1:7" ht="18.75" customHeight="1" thickTop="1" thickBot="1" x14ac:dyDescent="0.3">
      <c r="A3" s="442"/>
      <c r="B3" s="446"/>
      <c r="C3" s="447"/>
      <c r="D3" s="450" t="s">
        <v>358</v>
      </c>
      <c r="E3" s="450"/>
      <c r="F3" s="450"/>
      <c r="G3" s="451"/>
    </row>
    <row r="4" spans="1:7" ht="48.75" customHeight="1" thickTop="1" thickBot="1" x14ac:dyDescent="0.3">
      <c r="A4" s="442"/>
      <c r="B4" s="448"/>
      <c r="C4" s="449"/>
      <c r="D4" s="452" t="s">
        <v>359</v>
      </c>
      <c r="E4" s="452"/>
      <c r="F4" s="453" t="s">
        <v>360</v>
      </c>
      <c r="G4" s="454"/>
    </row>
    <row r="5" spans="1:7" ht="16.5" customHeight="1" thickTop="1" thickBot="1" x14ac:dyDescent="0.3">
      <c r="A5" s="442"/>
      <c r="B5" s="455" t="s">
        <v>361</v>
      </c>
      <c r="C5" s="456"/>
      <c r="D5" s="21" t="s">
        <v>362</v>
      </c>
      <c r="E5" s="21" t="s">
        <v>363</v>
      </c>
      <c r="F5" s="21" t="s">
        <v>362</v>
      </c>
      <c r="G5" s="22" t="s">
        <v>363</v>
      </c>
    </row>
    <row r="6" spans="1:7" ht="16.5" thickTop="1" thickBot="1" x14ac:dyDescent="0.3">
      <c r="A6" s="442"/>
      <c r="B6" s="23" t="s">
        <v>364</v>
      </c>
      <c r="C6" s="24" t="s">
        <v>365</v>
      </c>
      <c r="D6" s="25">
        <v>0.04</v>
      </c>
      <c r="E6" s="25">
        <v>0.04</v>
      </c>
      <c r="F6" s="25">
        <v>1.4999999999999999E-2</v>
      </c>
      <c r="G6" s="26">
        <v>1.4999999999999999E-2</v>
      </c>
    </row>
    <row r="7" spans="1:7" ht="16.5" thickTop="1" thickBot="1" x14ac:dyDescent="0.3">
      <c r="A7" s="442"/>
      <c r="B7" s="23" t="s">
        <v>366</v>
      </c>
      <c r="C7" s="24" t="s">
        <v>367</v>
      </c>
      <c r="D7" s="25">
        <v>8.0000000000000002E-3</v>
      </c>
      <c r="E7" s="25">
        <v>8.0000000000000002E-3</v>
      </c>
      <c r="F7" s="25">
        <v>3.0000000000000001E-3</v>
      </c>
      <c r="G7" s="26">
        <v>3.0000000000000001E-3</v>
      </c>
    </row>
    <row r="8" spans="1:7" ht="16.5" thickTop="1" thickBot="1" x14ac:dyDescent="0.3">
      <c r="A8" s="442"/>
      <c r="B8" s="23" t="s">
        <v>368</v>
      </c>
      <c r="C8" s="24" t="s">
        <v>369</v>
      </c>
      <c r="D8" s="25">
        <v>1.2699999999999999E-2</v>
      </c>
      <c r="E8" s="25">
        <v>1.2699999999999999E-2</v>
      </c>
      <c r="F8" s="25">
        <v>5.5999999999999999E-3</v>
      </c>
      <c r="G8" s="26">
        <v>5.5999999999999999E-3</v>
      </c>
    </row>
    <row r="9" spans="1:7" ht="16.5" thickTop="1" thickBot="1" x14ac:dyDescent="0.3">
      <c r="A9" s="442"/>
      <c r="B9" s="23" t="s">
        <v>370</v>
      </c>
      <c r="C9" s="24" t="s">
        <v>371</v>
      </c>
      <c r="D9" s="25">
        <v>1.23E-2</v>
      </c>
      <c r="E9" s="25">
        <v>1.23E-2</v>
      </c>
      <c r="F9" s="25">
        <v>8.5000000000000006E-3</v>
      </c>
      <c r="G9" s="26">
        <v>8.5000000000000006E-3</v>
      </c>
    </row>
    <row r="10" spans="1:7" ht="16.5" thickTop="1" thickBot="1" x14ac:dyDescent="0.3">
      <c r="A10" s="442"/>
      <c r="B10" s="23" t="s">
        <v>372</v>
      </c>
      <c r="C10" s="24" t="s">
        <v>373</v>
      </c>
      <c r="D10" s="25">
        <v>7.3999999999999996E-2</v>
      </c>
      <c r="E10" s="25">
        <v>7.3999999999999996E-2</v>
      </c>
      <c r="F10" s="25">
        <v>3.5000000000000003E-2</v>
      </c>
      <c r="G10" s="26">
        <v>3.5000000000000003E-2</v>
      </c>
    </row>
    <row r="11" spans="1:7" ht="16.5" thickTop="1" thickBot="1" x14ac:dyDescent="0.3">
      <c r="A11" s="442"/>
      <c r="B11" s="23" t="s">
        <v>374</v>
      </c>
      <c r="C11" s="24" t="s">
        <v>375</v>
      </c>
      <c r="D11" s="25">
        <f t="shared" ref="D11:G11" si="0">SUM(D12:D15)</f>
        <v>7.8405000000000002E-2</v>
      </c>
      <c r="E11" s="25">
        <f t="shared" si="0"/>
        <v>4.2922500000000002E-2</v>
      </c>
      <c r="F11" s="25">
        <f t="shared" si="0"/>
        <v>7.2500000000000009E-2</v>
      </c>
      <c r="G11" s="26">
        <f t="shared" si="0"/>
        <v>3.6499999999999998E-2</v>
      </c>
    </row>
    <row r="12" spans="1:7" ht="16.5" thickTop="1" thickBot="1" x14ac:dyDescent="0.3">
      <c r="A12" s="442"/>
      <c r="B12" s="457"/>
      <c r="C12" s="27" t="s">
        <v>376</v>
      </c>
      <c r="D12" s="28">
        <v>6.4999999999999997E-3</v>
      </c>
      <c r="E12" s="28">
        <v>6.4999999999999997E-3</v>
      </c>
      <c r="F12" s="28">
        <v>6.4999999999999997E-3</v>
      </c>
      <c r="G12" s="29">
        <v>6.4999999999999997E-3</v>
      </c>
    </row>
    <row r="13" spans="1:7" ht="16.5" thickTop="1" thickBot="1" x14ac:dyDescent="0.3">
      <c r="A13" s="442"/>
      <c r="B13" s="457"/>
      <c r="C13" s="27" t="s">
        <v>377</v>
      </c>
      <c r="D13" s="28">
        <v>0.03</v>
      </c>
      <c r="E13" s="28">
        <v>0.03</v>
      </c>
      <c r="F13" s="28">
        <v>0.03</v>
      </c>
      <c r="G13" s="29">
        <v>0.03</v>
      </c>
    </row>
    <row r="14" spans="1:7" ht="16.5" thickTop="1" thickBot="1" x14ac:dyDescent="0.3">
      <c r="A14" s="442"/>
      <c r="B14" s="457"/>
      <c r="C14" s="30" t="s">
        <v>378</v>
      </c>
      <c r="D14" s="31">
        <f>J25</f>
        <v>5.9050000000000005E-3</v>
      </c>
      <c r="E14" s="31">
        <f>D25</f>
        <v>6.4225000000000011E-3</v>
      </c>
      <c r="F14" s="31"/>
      <c r="G14" s="32"/>
    </row>
    <row r="15" spans="1:7" ht="16.5" thickTop="1" thickBot="1" x14ac:dyDescent="0.3">
      <c r="A15" s="442"/>
      <c r="B15" s="457"/>
      <c r="C15" s="30" t="s">
        <v>379</v>
      </c>
      <c r="D15" s="28">
        <f>4.5*0.008</f>
        <v>3.6000000000000004E-2</v>
      </c>
      <c r="E15" s="28"/>
      <c r="F15" s="28">
        <f>4.5*0.008</f>
        <v>3.6000000000000004E-2</v>
      </c>
      <c r="G15" s="29"/>
    </row>
    <row r="16" spans="1:7" ht="17.25" customHeight="1" thickTop="1" thickBot="1" x14ac:dyDescent="0.3">
      <c r="A16" s="443"/>
      <c r="B16" s="458" t="s">
        <v>380</v>
      </c>
      <c r="C16" s="459"/>
      <c r="D16" s="33">
        <f>TRUNC((((1+(D6+D7+D8))*(1+D9)*(1+D10))/(1-D11)-1),4)</f>
        <v>0.25130000000000002</v>
      </c>
      <c r="E16" s="33">
        <f>TRUNC((((1+(E6+E7+E8))*(1+E9)*(1+E10))/(1-E11)-1),4)</f>
        <v>0.2049</v>
      </c>
      <c r="F16" s="33">
        <f>TRUNC(((((1+(F6+F7+F8))*(1+F9)*(1+F10))/(1-F11))-1),4)</f>
        <v>0.15190000000000001</v>
      </c>
      <c r="G16" s="34">
        <f>TRUNC(((((1+(G6+G7+G8))*(1+G9)*(1+G10))/(1-G11))-1),4)</f>
        <v>0.1089</v>
      </c>
    </row>
    <row r="17" spans="1:11" ht="15.75" thickTop="1" x14ac:dyDescent="0.25"/>
    <row r="18" spans="1:11" ht="33" customHeight="1" x14ac:dyDescent="0.25">
      <c r="A18" s="460" t="s">
        <v>381</v>
      </c>
      <c r="B18" s="461"/>
      <c r="C18" s="461"/>
      <c r="D18" s="462"/>
      <c r="F18" s="20"/>
      <c r="G18" s="20"/>
      <c r="I18" s="35"/>
    </row>
    <row r="19" spans="1:11" ht="33" customHeight="1" x14ac:dyDescent="0.25">
      <c r="A19" s="20"/>
      <c r="B19" s="20"/>
      <c r="C19" s="20"/>
      <c r="F19" s="20"/>
      <c r="G19" s="20"/>
      <c r="I19" s="35"/>
    </row>
    <row r="20" spans="1:11" ht="33" customHeight="1" x14ac:dyDescent="0.25">
      <c r="A20" s="463" t="s">
        <v>382</v>
      </c>
      <c r="B20" s="463"/>
      <c r="C20" s="463"/>
      <c r="D20" s="463"/>
      <c r="E20" s="463"/>
      <c r="F20" s="20"/>
      <c r="G20" s="463" t="s">
        <v>383</v>
      </c>
      <c r="H20" s="463"/>
      <c r="I20" s="463"/>
      <c r="J20" s="463"/>
      <c r="K20" s="463"/>
    </row>
    <row r="21" spans="1:11" x14ac:dyDescent="0.25">
      <c r="A21" s="464"/>
      <c r="B21" s="464"/>
      <c r="C21" s="464"/>
      <c r="D21" s="465"/>
      <c r="E21" s="36" t="s">
        <v>384</v>
      </c>
      <c r="G21" s="464"/>
      <c r="H21" s="464"/>
      <c r="I21" s="464"/>
      <c r="J21" s="465"/>
      <c r="K21" s="36" t="s">
        <v>384</v>
      </c>
    </row>
    <row r="22" spans="1:11" ht="27.75" customHeight="1" x14ac:dyDescent="0.25">
      <c r="A22" s="37" t="s">
        <v>385</v>
      </c>
      <c r="B22" s="440" t="str">
        <f>'01 - Orçamento Sintético'!K126</f>
        <v>687.225,62</v>
      </c>
      <c r="C22" s="440"/>
      <c r="D22" s="440"/>
      <c r="E22" s="38">
        <f>TRUNC((B22/B24),4)</f>
        <v>0.25690000000000002</v>
      </c>
      <c r="G22" s="37" t="s">
        <v>385</v>
      </c>
      <c r="H22" s="440" t="str">
        <f>'Orçamento Sintético - DES'!K126</f>
        <v>614.731,09</v>
      </c>
      <c r="I22" s="440"/>
      <c r="J22" s="440"/>
      <c r="K22" s="38">
        <f>TRUNC((H22/H24),4)</f>
        <v>0.23619999999999999</v>
      </c>
    </row>
    <row r="23" spans="1:11" ht="55.5" customHeight="1" x14ac:dyDescent="0.25">
      <c r="A23" s="37" t="s">
        <v>386</v>
      </c>
      <c r="B23" s="440" t="str">
        <f>'01 - Orçamento Sintético'!L126</f>
        <v>1.987.670,04</v>
      </c>
      <c r="C23" s="440"/>
      <c r="D23" s="440"/>
      <c r="E23" s="39">
        <f>TRUNC((B23/B24),4)</f>
        <v>0.74299999999999999</v>
      </c>
      <c r="G23" s="37" t="s">
        <v>386</v>
      </c>
      <c r="H23" s="440" t="str">
        <f>'Orçamento Sintético - DES'!L126</f>
        <v>1.987.510,43</v>
      </c>
      <c r="I23" s="440"/>
      <c r="J23" s="440"/>
      <c r="K23" s="39">
        <f>TRUNC((H23/H24),4)</f>
        <v>0.76370000000000005</v>
      </c>
    </row>
    <row r="24" spans="1:11" ht="53.25" customHeight="1" x14ac:dyDescent="0.25">
      <c r="A24" s="37" t="s">
        <v>387</v>
      </c>
      <c r="B24" s="440" t="str">
        <f>'01 - Orçamento Sintético'!M126</f>
        <v>2.674.895,66</v>
      </c>
      <c r="C24" s="440"/>
      <c r="D24" s="440"/>
      <c r="E24" s="40">
        <f>E22+E23</f>
        <v>0.99990000000000001</v>
      </c>
      <c r="G24" s="37" t="s">
        <v>387</v>
      </c>
      <c r="H24" s="440" t="str">
        <f>'Orçamento Sintético - DES'!M126</f>
        <v>2.602.241,52</v>
      </c>
      <c r="I24" s="440"/>
      <c r="J24" s="440"/>
      <c r="K24" s="40">
        <f>K22+K23</f>
        <v>0.99990000000000001</v>
      </c>
    </row>
    <row r="25" spans="1:11" ht="24" customHeight="1" x14ac:dyDescent="0.25">
      <c r="A25" s="41" t="s">
        <v>388</v>
      </c>
      <c r="B25" s="42">
        <v>2.5000000000000001E-2</v>
      </c>
      <c r="C25" s="43" t="s">
        <v>389</v>
      </c>
      <c r="D25" s="468">
        <f>E22*B25</f>
        <v>6.4225000000000011E-3</v>
      </c>
      <c r="E25" s="468"/>
      <c r="G25" s="41" t="s">
        <v>388</v>
      </c>
      <c r="H25" s="42">
        <v>2.5000000000000001E-2</v>
      </c>
      <c r="I25" s="43" t="s">
        <v>389</v>
      </c>
      <c r="J25" s="468">
        <f>K22*H25</f>
        <v>5.9050000000000005E-3</v>
      </c>
      <c r="K25" s="468"/>
    </row>
    <row r="26" spans="1:11" x14ac:dyDescent="0.25">
      <c r="D26" s="19"/>
      <c r="E26" s="19"/>
    </row>
    <row r="27" spans="1:11" ht="16.5" customHeight="1" x14ac:dyDescent="0.25">
      <c r="D27" s="19"/>
      <c r="E27" s="19"/>
    </row>
    <row r="28" spans="1:11" ht="30" x14ac:dyDescent="0.25">
      <c r="A28" s="44" t="s">
        <v>390</v>
      </c>
      <c r="B28" s="466">
        <v>4.4999999999999998E-2</v>
      </c>
      <c r="C28" s="466"/>
      <c r="D28" s="19"/>
      <c r="E28" s="19"/>
    </row>
    <row r="29" spans="1:11" ht="45" x14ac:dyDescent="0.25">
      <c r="A29" s="45" t="s">
        <v>391</v>
      </c>
      <c r="B29" s="46" t="s">
        <v>392</v>
      </c>
      <c r="C29" s="45" t="s">
        <v>393</v>
      </c>
      <c r="D29" s="19"/>
      <c r="E29" s="19"/>
    </row>
    <row r="30" spans="1:11" x14ac:dyDescent="0.25">
      <c r="A30" s="47">
        <v>2024</v>
      </c>
      <c r="B30" s="48">
        <v>1</v>
      </c>
      <c r="C30" s="49">
        <f>B30*$B$28</f>
        <v>4.4999999999999998E-2</v>
      </c>
      <c r="D30" s="19"/>
      <c r="E30" s="19"/>
    </row>
    <row r="31" spans="1:11" x14ac:dyDescent="0.25">
      <c r="A31" s="47">
        <v>2025</v>
      </c>
      <c r="B31" s="48">
        <v>0.8</v>
      </c>
      <c r="C31" s="49">
        <f t="shared" ref="C31:C34" si="1">B31*$B$28</f>
        <v>3.5999999999999997E-2</v>
      </c>
      <c r="D31" s="19"/>
      <c r="E31" s="19"/>
    </row>
    <row r="32" spans="1:11" x14ac:dyDescent="0.25">
      <c r="A32" s="47">
        <v>2026</v>
      </c>
      <c r="B32" s="48">
        <v>0.6</v>
      </c>
      <c r="C32" s="49">
        <f t="shared" si="1"/>
        <v>2.7E-2</v>
      </c>
      <c r="D32" s="19"/>
      <c r="E32" s="19"/>
    </row>
    <row r="33" spans="1:5" x14ac:dyDescent="0.25">
      <c r="A33" s="47">
        <v>2027</v>
      </c>
      <c r="B33" s="48">
        <v>0.4</v>
      </c>
      <c r="C33" s="49">
        <f t="shared" si="1"/>
        <v>1.7999999999999999E-2</v>
      </c>
      <c r="D33" s="19"/>
      <c r="E33" s="19"/>
    </row>
    <row r="34" spans="1:5" x14ac:dyDescent="0.25">
      <c r="A34" s="47">
        <v>2028</v>
      </c>
      <c r="B34" s="48">
        <v>0</v>
      </c>
      <c r="C34" s="49">
        <f t="shared" si="1"/>
        <v>0</v>
      </c>
      <c r="D34" s="19"/>
      <c r="E34" s="19"/>
    </row>
    <row r="35" spans="1:5" x14ac:dyDescent="0.25">
      <c r="D35" s="19"/>
      <c r="E35" s="19"/>
    </row>
    <row r="36" spans="1:5" ht="115.5" customHeight="1" x14ac:dyDescent="0.25">
      <c r="A36" s="467" t="s">
        <v>394</v>
      </c>
      <c r="B36" s="467"/>
      <c r="C36" s="467"/>
      <c r="D36" s="19"/>
      <c r="E36" s="19"/>
    </row>
    <row r="37" spans="1:5" x14ac:dyDescent="0.25">
      <c r="D37" s="19"/>
      <c r="E37" s="19"/>
    </row>
    <row r="38" spans="1:5" x14ac:dyDescent="0.25">
      <c r="D38" s="19"/>
      <c r="E38" s="19"/>
    </row>
    <row r="39" spans="1:5" x14ac:dyDescent="0.25">
      <c r="D39" s="19"/>
      <c r="E39" s="19"/>
    </row>
    <row r="40" spans="1:5" x14ac:dyDescent="0.25">
      <c r="D40" s="19"/>
      <c r="E40" s="19"/>
    </row>
    <row r="41" spans="1:5" ht="16.5" customHeight="1" x14ac:dyDescent="0.25">
      <c r="D41" s="19"/>
      <c r="E41" s="19"/>
    </row>
    <row r="42" spans="1:5" x14ac:dyDescent="0.25">
      <c r="D42" s="19"/>
      <c r="E42" s="19"/>
    </row>
    <row r="43" spans="1:5" x14ac:dyDescent="0.25">
      <c r="D43" s="19"/>
      <c r="E43" s="19"/>
    </row>
    <row r="44" spans="1:5" x14ac:dyDescent="0.25">
      <c r="D44" s="19"/>
      <c r="E44" s="19"/>
    </row>
    <row r="45" spans="1:5" x14ac:dyDescent="0.25">
      <c r="D45" s="19"/>
      <c r="E45" s="19"/>
    </row>
    <row r="46" spans="1:5" x14ac:dyDescent="0.25">
      <c r="D46" s="19"/>
      <c r="E46" s="19"/>
    </row>
    <row r="47" spans="1:5" x14ac:dyDescent="0.25">
      <c r="D47" s="19"/>
      <c r="E47" s="19"/>
    </row>
    <row r="48" spans="1:5" x14ac:dyDescent="0.25">
      <c r="D48" s="19"/>
      <c r="E48" s="19"/>
    </row>
    <row r="49" spans="4:5" x14ac:dyDescent="0.25">
      <c r="D49" s="19"/>
      <c r="E49" s="19"/>
    </row>
    <row r="50" spans="4:5" x14ac:dyDescent="0.25">
      <c r="D50" s="19"/>
      <c r="E50" s="19"/>
    </row>
    <row r="51" spans="4:5" x14ac:dyDescent="0.25">
      <c r="D51" s="19"/>
      <c r="E51" s="19"/>
    </row>
    <row r="52" spans="4:5" x14ac:dyDescent="0.25">
      <c r="D52" s="19"/>
      <c r="E52" s="19"/>
    </row>
    <row r="53" spans="4:5" x14ac:dyDescent="0.25">
      <c r="D53" s="19"/>
      <c r="E53" s="19"/>
    </row>
  </sheetData>
  <mergeCells count="24">
    <mergeCell ref="B28:C28"/>
    <mergeCell ref="A36:C36"/>
    <mergeCell ref="B23:D23"/>
    <mergeCell ref="H23:J23"/>
    <mergeCell ref="B24:D24"/>
    <mergeCell ref="H24:J24"/>
    <mergeCell ref="D25:E25"/>
    <mergeCell ref="J25:K25"/>
    <mergeCell ref="B22:D22"/>
    <mergeCell ref="H22:J22"/>
    <mergeCell ref="A2:A16"/>
    <mergeCell ref="B2:G2"/>
    <mergeCell ref="B3:C4"/>
    <mergeCell ref="D3:G3"/>
    <mergeCell ref="D4:E4"/>
    <mergeCell ref="F4:G4"/>
    <mergeCell ref="B5:C5"/>
    <mergeCell ref="B12:B15"/>
    <mergeCell ref="B16:C16"/>
    <mergeCell ref="A18:D18"/>
    <mergeCell ref="A20:E20"/>
    <mergeCell ref="G20:K20"/>
    <mergeCell ref="A21:D21"/>
    <mergeCell ref="G21:J21"/>
  </mergeCells>
  <pageMargins left="0.51180555555555496" right="0.51180555555555496" top="0.78749999999999998" bottom="0.78749999999999998" header="0.51180555555555496" footer="0.51180555555555496"/>
  <pageSetup paperSize="9" scale="51" firstPageNumber="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087062E6370014093A81D95A80BDE92" ma:contentTypeVersion="10" ma:contentTypeDescription="Crie um novo documento." ma:contentTypeScope="" ma:versionID="c4a1ddc7562e45290102093ab2805da1">
  <xsd:schema xmlns:xsd="http://www.w3.org/2001/XMLSchema" xmlns:xs="http://www.w3.org/2001/XMLSchema" xmlns:p="http://schemas.microsoft.com/office/2006/metadata/properties" xmlns:ns2="5dad2c6d-0e97-4834-8c19-10c33e1e95dc" targetNamespace="http://schemas.microsoft.com/office/2006/metadata/properties" ma:root="true" ma:fieldsID="d6ea297efa77e91ac76512fc6347cec0" ns2:_="">
    <xsd:import namespace="5dad2c6d-0e97-4834-8c19-10c33e1e95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d2c6d-0e97-4834-8c19-10c33e1e95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67eaf0a-f2cb-4adb-8ec3-a80bcab9db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ad2c6d-0e97-4834-8c19-10c33e1e95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31CEAE-7A95-43C5-94CD-9BC8CA6243BC}"/>
</file>

<file path=customXml/itemProps2.xml><?xml version="1.0" encoding="utf-8"?>
<ds:datastoreItem xmlns:ds="http://schemas.openxmlformats.org/officeDocument/2006/customXml" ds:itemID="{EE5DBA3D-D368-431E-ACF5-EAEC1C197053}"/>
</file>

<file path=customXml/itemProps3.xml><?xml version="1.0" encoding="utf-8"?>
<ds:datastoreItem xmlns:ds="http://schemas.openxmlformats.org/officeDocument/2006/customXml" ds:itemID="{F1F04F96-7134-41DE-8559-3D57F7E0B0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Orçamento Sintético - DES</vt:lpstr>
      <vt:lpstr>01 - Orçamento Sintético</vt:lpstr>
      <vt:lpstr>02 - Planilha de Medição</vt:lpstr>
      <vt:lpstr>03 - Cronograma Inicial</vt:lpstr>
      <vt:lpstr>BDI 2025</vt:lpstr>
      <vt:lpstr>'BDI 2025'!Area_de_impressao</vt:lpstr>
    </vt:vector>
  </TitlesOfParts>
  <Company>TJPR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Miguel Alves Pereira</dc:creator>
  <cp:lastModifiedBy>Joao Miguel Alves Pereira</cp:lastModifiedBy>
  <dcterms:created xsi:type="dcterms:W3CDTF">2025-04-23T21:40:49Z</dcterms:created>
  <dcterms:modified xsi:type="dcterms:W3CDTF">2025-04-24T21:14:13Z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0x0101000087062E6370014093A81D95A80BDE92</vt:lpwstr>
  </property>
</Properties>
</file>